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mc:AlternateContent xmlns:mc="http://schemas.openxmlformats.org/markup-compatibility/2006">
    <mc:Choice Requires="x15">
      <x15ac:absPath xmlns:x15ac="http://schemas.microsoft.com/office/spreadsheetml/2010/11/ac" url="/Volumes/RMCG Bendigo/RMCG Client Files/DARYL-25/L-Z/25-M-145 MD Business tool update/Scenario planner/"/>
    </mc:Choice>
  </mc:AlternateContent>
  <xr:revisionPtr revIDLastSave="0" documentId="8_{4B5630FC-789B-6548-91F2-011AC99313A8}" xr6:coauthVersionLast="36" xr6:coauthVersionMax="36" xr10:uidLastSave="{00000000-0000-0000-0000-000000000000}"/>
  <workbookProtection workbookAlgorithmName="SHA-512" workbookHashValue="DWYC4uL2lkbumB4afGtuXEdB4InxgH5UJncs/9/nJQGeCKNzT9Enucz1/0E5NrCGlquVaVPQHae9Smnxw5RO2A==" workbookSaltValue="Vr3r7cWO45pvpy+EiK7hew==" workbookSpinCount="100000" lockStructure="1"/>
  <bookViews>
    <workbookView xWindow="11200" yWindow="460" windowWidth="39580" windowHeight="26620" tabRatio="500" xr2:uid="{00000000-000D-0000-FFFF-FFFF00000000}"/>
  </bookViews>
  <sheets>
    <sheet name="Introduction" sheetId="6" r:id="rId1"/>
    <sheet name="DairyBase dataset" sheetId="5" r:id="rId2"/>
    <sheet name="Forecast inputs" sheetId="2" r:id="rId3"/>
    <sheet name="Feed calculations" sheetId="4" r:id="rId4"/>
    <sheet name="Detailed Results" sheetId="3" r:id="rId5"/>
  </sheets>
  <externalReferences>
    <externalReference r:id="rId6"/>
  </externalReferences>
  <definedNames>
    <definedName name="AreaIrrigated">'[1]DB data'!$D$56</definedName>
    <definedName name="AreaIrrigatedMilking">'[1]DB data'!$E$55</definedName>
    <definedName name="AreaIrrigatedSupport">'[1]DB data'!$E$56</definedName>
    <definedName name="AreaMilking">'[1]DB data'!$D$54</definedName>
    <definedName name="AreaUsable">'[1]DB data'!$D$53</definedName>
    <definedName name="AssetsLandAndBuildingsAvg">'[1]DB data'!$A$208</definedName>
    <definedName name="AssetsLandAndBuildingsClosing">'[1]DB data'!$A$207</definedName>
    <definedName name="AssetsLandAndBuildingsOpening">'[1]DB data'!$A$206</definedName>
    <definedName name="AssetsOwnedWaterAvg">'[1]DB data'!$A$211</definedName>
    <definedName name="AssetsOwnedWaterClosing">'[1]DB data'!$A$210</definedName>
    <definedName name="AssetsOwnedWaterOpening">'[1]DB data'!$A$209</definedName>
    <definedName name="aystock">'[1]Agist Young Stock'!$E$12,'[1]Agist Young Stock'!$E$19,'[1]Agist Young Stock'!$E$20,'[1]Agist Young Stock'!$E$21,'[1]Agist Young Stock'!$E$27,'[1]Agist Young Stock'!$E$28,'[1]Agist Young Stock'!$E$29,'[1]Agist Young Stock'!$J$13,'[1]Agist Young Stock'!$J$14,'[1]Agist Young Stock'!$J$19,'[1]Agist Young Stock'!$J$20,'[1]Agist Young Stock'!$J$21,'[1]Agist Young Stock'!$J$22,'[1]Agist Young Stock'!$J$30,'[1]Agist Young Stock'!$O$12,'[1]Agist Young Stock'!$O$13,'[1]Agist Young Stock'!$P$12,'[1]Agist Young Stock'!$P$13</definedName>
    <definedName name="bcc">'[1]Seasonal Impact'!#REF!</definedName>
    <definedName name="bcp">'[1]Seasonal Impact'!#REF!</definedName>
    <definedName name="CashFlowFarmNet">'[1]DB data'!$D$154</definedName>
    <definedName name="CashFlowFarmOperatingSurplus">'[1]DB data'!$D$145</definedName>
    <definedName name="cnitrogen">[1]Nitrogen!$E$12,[1]Nitrogen!$E$20,[1]Nitrogen!$E$21,[1]Nitrogen!$E$27,[1]Nitrogen!$E$28,[1]Nitrogen!$E$29,[1]Nitrogen!$J$13,[1]Nitrogen!$J$14,[1]Nitrogen!$J$15,[1]Nitrogen!$J$21,[1]Nitrogen!$J$22,[1]Nitrogen!$J$23,[1]Nitrogen!$J$30,[1]Nitrogen!$O$12,[1]Nitrogen!$O$13,[1]Nitrogen!$P$12,[1]Nitrogen!$P$13</definedName>
    <definedName name="CopInclInventory">'[1]DB data'!$D$191</definedName>
    <definedName name="CowMilkerNumber">'[1]DB data'!$D$58</definedName>
    <definedName name="CowNumberPerMilkingHa">'[1]DB data'!$D$59</definedName>
    <definedName name="dimpact">'[1]$ Impact'!$E$13:$E$15,'[1]$ Impact'!$E$17:$E$18,'[1]$ Impact'!$E$21:$E$22,'[1]$ Impact'!$E$24:$E$26,'[1]$ Impact'!$E$35:$E$39,'[1]$ Impact'!$M$12:$M$17,'[1]$ Impact'!$M$22:$M$24,'[1]$ Impact'!$M$26:$M$29,'[1]$ Impact'!$M$34,'[1]$ Impact'!$M$36</definedName>
    <definedName name="EBIT">'[1]DB data'!$D$187</definedName>
    <definedName name="EquityChange">'[1]DB data'!$C$227</definedName>
    <definedName name="EquityPercentAvg">'[1]DB data'!$C$225</definedName>
    <definedName name="ExpenseConcentratesPurchase">'[1]DB data'!$C$128</definedName>
    <definedName name="ExpenseEmployedPeople">'[1]DB data'!$D$139</definedName>
    <definedName name="ExpenseFarmWorking">'[1]DB data'!$D$144</definedName>
    <definedName name="ExpenseFeedWaterInventoryChange">'[1]DB data'!$C$174</definedName>
    <definedName name="ExpenseFodderPurchase">'[1]DB data'!$C$127</definedName>
    <definedName name="ExpenseHerdTotal">'[1]DB data'!$D$122</definedName>
    <definedName name="ExpenseInterest">'[1]DB data'!$D$147</definedName>
    <definedName name="ExpenseLease">'[1]DB data'!$D$148</definedName>
    <definedName name="ExpenseOtherFeedPurchase">'[1]DB data'!$C$129</definedName>
    <definedName name="ExpenseOtherOverheadsTotal">'[1]DB data'!$D$142</definedName>
    <definedName name="ExpenseOverheadsTotal">'[1]DB data'!$D$185</definedName>
    <definedName name="ExpenseRegistrationInsurance">'[1]DB data'!$D$140</definedName>
    <definedName name="ExpenseRepairsMaintenance">'[1]DB data'!$D$141</definedName>
    <definedName name="ExpenseShedTotal">'[1]DB data'!$D$126</definedName>
    <definedName name="ExpenseVariableTotal">'[1]DB data'!$D$176</definedName>
    <definedName name="FeedConservedTDMPerUsableHa">'[1]DB data'!$F$73</definedName>
    <definedName name="FeedGrazedTDMPerUsableHa">'[1]DB data'!$F$72</definedName>
    <definedName name="FeedHomegrownTDMPerMilkingHa">'[1]DB data'!$D$74</definedName>
    <definedName name="FeedHomegrownTDMPerUsableHa">'[1]DB data'!$F$74</definedName>
    <definedName name="incless">'[1]$ Impact'!$N$30</definedName>
    <definedName name="IncomeFarmOther">'[1]DB data'!$D$115</definedName>
    <definedName name="IncomeMilkTotal">'[1]DB data'!$D$111</definedName>
    <definedName name="IncomeTotal">'[1]DB data'!$D$167</definedName>
    <definedName name="LabourCowsPerFte">'[1]DB data'!$D$96</definedName>
    <definedName name="lastyearf" localSheetId="1">[1]Feed!#REF!</definedName>
    <definedName name="lastyearf">'Feed calculations'!#REF!</definedName>
    <definedName name="lcows">'[1]Less Cows'!$E$11,'[1]Less Cows'!$E$18,'[1]Less Cows'!$E$19,'[1]Less Cows'!$E$25,'[1]Less Cows'!$E$26,'[1]Less Cows'!$E$27,'[1]Less Cows'!$E$28,'[1]Less Cows'!$E$29,'[1]Less Cows'!$J$13,'[1]Less Cows'!$J$14,'[1]Less Cows'!$J$22,'[1]Less Cows'!$J$28,'[1]Less Cows'!$J$29,'[1]Less Cows'!$O$12,'[1]Less Cows'!$O$13,'[1]Less Cows'!$P$12,'[1]Less Cows'!$P$13</definedName>
    <definedName name="lyfdata">'[1]LY Farm data'!$F$11:$F$13,'[1]LY Farm data'!$F$16:$F$18,'[1]LY Farm data'!$F$21,'[1]LY Farm data'!$F$24:$F$25,'[1]LY Farm data'!$F$27,'[1]LY Farm data'!$F$31:$F$36,'[1]LY Farm data'!$H$11:$H$13,'[1]LY Farm data'!$J$11:$J$13,'[1]LY Farm data'!$I$31:$I$33</definedName>
    <definedName name="mcows">'[1]More Cows'!$E$13,'[1]More Cows'!$E$19,'[1]More Cows'!$E$20,'[1]More Cows'!$E$21,'[1]More Cows'!$E$31,'[1]More Cows'!$J$14,'[1]More Cows'!$J$15,'[1]More Cows'!$J$21,'[1]More Cows'!$J$22,'[1]More Cows'!$J$23,'[1]More Cows'!$J$24,'[1]More Cows'!$J$25,'[1]More Cows'!$J$31,'[1]More Cows'!$O$12,'[1]More Cows'!$O$13,'[1]More Cows'!$P$12,'[1]More Cows'!$P$13</definedName>
    <definedName name="MilkFatKgTotal">'[1]DB data'!$D$65</definedName>
    <definedName name="MilkLitresTotal">'[1]DB data'!$D$64</definedName>
    <definedName name="MilkProteinKgTotal">'[1]DB data'!$D$66</definedName>
    <definedName name="MilkSolidsKgTotal">'[1]DB data'!$D$67</definedName>
    <definedName name="NetProfitBeforeTax">'[1]DB data'!$D$196</definedName>
    <definedName name="OLE_LINK1" localSheetId="0">Introduction!#REF!</definedName>
    <definedName name="OperatingCostTotal">'[1]DB data'!$D$186</definedName>
    <definedName name="pandloss">'[1]$ Impact'!$N$38</definedName>
    <definedName name="pograin">'[1]Process Own Grain'!$E$12,'[1]Process Own Grain'!$E$21,'[1]Process Own Grain'!$E$22,'[1]Process Own Grain'!$E$28,'[1]Process Own Grain'!$J$14,'[1]Process Own Grain'!$J$16,'[1]Process Own Grain'!$J$21,'[1]Process Own Grain'!$J$22,'[1]Process Own Grain'!$J$23,'[1]Process Own Grain'!$J$24,'[1]Process Own Grain'!$J$25,'[1]Process Own Grain'!$J$31,'[1]Process Own Grain'!$O$12,'[1]Process Own Grain'!$O$13,'[1]Process Own Grain'!$P$12,'[1]Process Own Grain'!$P$13</definedName>
    <definedName name="_xlnm.Print_Area" localSheetId="3">'Feed calculations'!$A$2:$G$25</definedName>
    <definedName name="ReturnEquityExclAppreciation">'[1]DB data'!$C$226</definedName>
    <definedName name="ReturnOnCapitalExclAppreciation">'[1]DB data'!$C$216</definedName>
    <definedName name="simpact">'[1]Seasonal Impact'!$L$12,'[1]Seasonal Impact'!$L$13,'[1]Seasonal Impact'!$L$14,'[1]Seasonal Impact'!$L$15,'[1]Seasonal Impact'!$O$12,'[1]Seasonal Impact'!$O$13,'[1]Seasonal Impact'!$O$14,'[1]Seasonal Impact'!$O$15</definedName>
    <definedName name="twesfodder">'[1]TWE - Summer+Fodder'!$E$12,'[1]TWE - Summer+Fodder'!$E$21,'[1]TWE - Summer+Fodder'!$E$22,'[1]TWE - Summer+Fodder'!$E$28,'[1]TWE - Summer+Fodder'!$E$29,'[1]TWE - Summer+Fodder'!$E$30,'[1]TWE - Summer+Fodder'!$J$13,'[1]TWE - Summer+Fodder'!$J$15,'[1]TWE - Summer+Fodder'!$J$16,'[1]TWE - Summer+Fodder'!$J$20,'[1]TWE - Summer+Fodder'!$J$21,'[1]TWE - Summer+Fodder'!$J$22,'[1]TWE - Summer+Fodder'!$J$23,'[1]TWE - Summer+Fodder'!$J$24,'[1]TWE - Summer+Fodder'!$J$25,'[1]TWE - Summer+Fodder'!$J$32,'[1]TWE - Summer+Fodder'!$O$13,'[1]TWE - Summer+Fodder'!$O$14,'[1]TWE - Summer+Fodder'!$P$13,'[1]TWE - Summer+Fodder'!$P$14</definedName>
    <definedName name="twespring">'[1]TWE - Spring'!$E$12,'[1]TWE - Spring'!$E$20,'[1]TWE - Spring'!$E$21,'[1]TWE - Spring'!$E$27,'[1]TWE - Spring'!$E$28,'[1]TWE - Spring'!$E$29,'[1]TWE - Spring'!$J$13,'[1]TWE - Spring'!$J$14,'[1]TWE - Spring'!$J$15,'[1]TWE - Spring'!$J$19,'[1]TWE - Spring'!$J$20,'[1]TWE - Spring'!$J$21,'[1]TWE - Spring'!$J$28,'[1]TWE - Spring'!$O$12,'[1]TWE - Spring'!$O$13,'[1]TWE - Spring'!$P$12,'[1]TWE - Spring'!$P$13</definedName>
    <definedName name="tyfdata">'[1]TY Farm data'!$F$33:$F$34,'[1]TY Farm data'!$F$36,'[1]TY Farm data'!$I$32</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33" i="2" l="1"/>
  <c r="B34" i="2" l="1"/>
  <c r="A34" i="2"/>
  <c r="B25" i="2" l="1"/>
  <c r="A37" i="2"/>
  <c r="A32" i="2"/>
  <c r="B37" i="2"/>
  <c r="B36" i="2" s="1"/>
  <c r="I25" i="2"/>
  <c r="I13" i="2"/>
  <c r="I22" i="2"/>
  <c r="B71" i="4" l="1"/>
  <c r="B69" i="4"/>
  <c r="B30" i="4"/>
  <c r="B44" i="2"/>
  <c r="B43" i="2" s="1"/>
  <c r="A44" i="2"/>
  <c r="A28" i="2"/>
  <c r="B100" i="4" l="1"/>
  <c r="B59" i="4" l="1"/>
  <c r="A26" i="2"/>
  <c r="B26" i="2"/>
  <c r="B51" i="2"/>
  <c r="B48" i="2"/>
  <c r="B47" i="2" s="1"/>
  <c r="J19" i="2" l="1"/>
  <c r="B50" i="2"/>
  <c r="E30" i="3"/>
  <c r="E14" i="3"/>
  <c r="C45" i="4"/>
  <c r="C86" i="4"/>
  <c r="C87" i="4"/>
  <c r="C46" i="4"/>
  <c r="A52" i="2"/>
  <c r="A49" i="2"/>
  <c r="A46" i="2"/>
  <c r="A2" i="4"/>
  <c r="C7" i="4"/>
  <c r="B7" i="4" s="1"/>
  <c r="I15" i="2"/>
  <c r="I16" i="2"/>
  <c r="I17" i="2"/>
  <c r="I18" i="2"/>
  <c r="I20" i="2" l="1"/>
  <c r="E27" i="3" l="1"/>
  <c r="B2" i="2"/>
  <c r="I9" i="2" l="1"/>
  <c r="B28" i="2"/>
  <c r="B27" i="2" s="1"/>
  <c r="A11" i="2"/>
  <c r="A7" i="2"/>
  <c r="A9" i="2"/>
  <c r="B11" i="2"/>
  <c r="B10" i="2" s="1"/>
  <c r="B9" i="2"/>
  <c r="B8" i="2" s="1"/>
  <c r="C88" i="4" l="1"/>
  <c r="C47" i="4"/>
  <c r="F104" i="4"/>
  <c r="F63" i="4"/>
  <c r="F64" i="4"/>
  <c r="F105" i="4"/>
  <c r="H18" i="4"/>
  <c r="H22" i="4"/>
  <c r="H23" i="4"/>
  <c r="C6" i="3" l="1"/>
  <c r="B28" i="4"/>
  <c r="B54" i="2"/>
  <c r="B53" i="2" s="1"/>
  <c r="A54" i="2"/>
  <c r="A51" i="2"/>
  <c r="A48" i="2"/>
  <c r="I1" i="2"/>
  <c r="B70" i="4" l="1"/>
  <c r="B29" i="4"/>
  <c r="C9" i="4"/>
  <c r="B32" i="2"/>
  <c r="B31" i="2" s="1"/>
  <c r="C12" i="4"/>
  <c r="B12" i="4" s="1"/>
  <c r="C11" i="4"/>
  <c r="B11" i="4" s="1"/>
  <c r="H7" i="4"/>
  <c r="H6" i="4"/>
  <c r="C70" i="4" l="1"/>
  <c r="C29" i="4"/>
  <c r="B335" i="2"/>
  <c r="C335" i="2"/>
  <c r="H8" i="4"/>
  <c r="E10" i="3"/>
  <c r="N1" i="2" l="1"/>
  <c r="I24" i="2" s="1"/>
  <c r="H9" i="4" s="1"/>
  <c r="H10" i="4" s="1"/>
  <c r="E31" i="2"/>
  <c r="C48" i="4"/>
  <c r="B53" i="4" s="1"/>
  <c r="D70" i="4"/>
  <c r="C71" i="4"/>
  <c r="D71" i="4" s="1"/>
  <c r="C72" i="4" s="1"/>
  <c r="C73" i="4" s="1"/>
  <c r="C89" i="4"/>
  <c r="B94" i="4" s="1"/>
  <c r="C30" i="4"/>
  <c r="D30" i="4" s="1"/>
  <c r="C31" i="4" s="1"/>
  <c r="C32" i="4" s="1"/>
  <c r="D29" i="4"/>
  <c r="B9" i="4"/>
  <c r="H63" i="4" l="1"/>
  <c r="H104" i="4"/>
  <c r="I26" i="2"/>
  <c r="C339" i="2"/>
  <c r="B339" i="2"/>
  <c r="C52" i="3"/>
  <c r="E52" i="3" s="1"/>
  <c r="C9" i="3"/>
  <c r="E9" i="3" s="1"/>
  <c r="C43" i="3"/>
  <c r="E43" i="3" s="1"/>
  <c r="C44" i="3"/>
  <c r="E44" i="3" s="1"/>
  <c r="C47" i="3"/>
  <c r="E47" i="3" s="1"/>
  <c r="C48" i="3"/>
  <c r="E48" i="3" s="1"/>
  <c r="E26" i="3"/>
  <c r="E21" i="3"/>
  <c r="E20" i="3"/>
  <c r="E19" i="3"/>
  <c r="E17" i="3"/>
  <c r="E16" i="3"/>
  <c r="E15" i="3"/>
  <c r="C24" i="4"/>
  <c r="C23" i="4"/>
  <c r="C22" i="4"/>
  <c r="B7" i="2"/>
  <c r="B6" i="2" s="1"/>
  <c r="C325" i="2"/>
  <c r="I2" i="2"/>
  <c r="H19" i="4"/>
  <c r="H21" i="4"/>
  <c r="C10" i="4"/>
  <c r="C17" i="3"/>
  <c r="C28" i="3"/>
  <c r="E28" i="3" s="1"/>
  <c r="C50" i="3"/>
  <c r="C49" i="3"/>
  <c r="C41" i="3"/>
  <c r="C40" i="3"/>
  <c r="C39" i="3"/>
  <c r="C38" i="3"/>
  <c r="E38" i="3" s="1"/>
  <c r="C37" i="3"/>
  <c r="E37" i="3" s="1"/>
  <c r="C36" i="3"/>
  <c r="E36" i="3" s="1"/>
  <c r="C35" i="3"/>
  <c r="E35" i="3" s="1"/>
  <c r="C33" i="3"/>
  <c r="C31" i="3"/>
  <c r="E31" i="3" s="1"/>
  <c r="C30" i="3"/>
  <c r="C29" i="3"/>
  <c r="E29" i="3" s="1"/>
  <c r="C27" i="3"/>
  <c r="C26" i="3"/>
  <c r="C25" i="3"/>
  <c r="E25" i="3" s="1"/>
  <c r="C24" i="3"/>
  <c r="E24" i="3" s="1"/>
  <c r="C23" i="3"/>
  <c r="C20" i="3"/>
  <c r="C19" i="3"/>
  <c r="C16" i="3"/>
  <c r="C15" i="3"/>
  <c r="C14" i="3"/>
  <c r="C12" i="3"/>
  <c r="C11" i="3"/>
  <c r="E11" i="3" s="1"/>
  <c r="C10" i="3"/>
  <c r="C8" i="3"/>
  <c r="E8" i="3" s="1"/>
  <c r="C7" i="3"/>
  <c r="B24" i="4"/>
  <c r="B23" i="4"/>
  <c r="B22" i="4"/>
  <c r="C22" i="3"/>
  <c r="I4" i="2"/>
  <c r="C53" i="3" l="1"/>
  <c r="I11" i="2" s="1"/>
  <c r="E47" i="2"/>
  <c r="C13" i="4"/>
  <c r="C14" i="4"/>
  <c r="B10" i="4"/>
  <c r="B15" i="4" s="1"/>
  <c r="C39" i="4" s="1"/>
  <c r="D22" i="4"/>
  <c r="H20" i="4"/>
  <c r="D23" i="4"/>
  <c r="B330" i="2"/>
  <c r="E45" i="3"/>
  <c r="J6" i="2" s="1"/>
  <c r="E39" i="3"/>
  <c r="E22" i="3"/>
  <c r="C32" i="3"/>
  <c r="I3" i="2"/>
  <c r="E18" i="3"/>
  <c r="C18" i="3"/>
  <c r="E49" i="3"/>
  <c r="I6" i="2"/>
  <c r="C45" i="3"/>
  <c r="B325" i="2"/>
  <c r="E50" i="2" s="1"/>
  <c r="I5" i="2"/>
  <c r="B52" i="4" l="1"/>
  <c r="D52" i="4" s="1"/>
  <c r="B93" i="4"/>
  <c r="B51" i="4"/>
  <c r="D51" i="4" s="1"/>
  <c r="C51" i="4" s="1"/>
  <c r="B92" i="4"/>
  <c r="D92" i="4" s="1"/>
  <c r="C80" i="4"/>
  <c r="B80" i="4" s="1"/>
  <c r="B19" i="4"/>
  <c r="B18" i="4"/>
  <c r="C15" i="4"/>
  <c r="C4" i="4" s="1"/>
  <c r="B55" i="2"/>
  <c r="E7" i="3" s="1"/>
  <c r="E12" i="3" s="1"/>
  <c r="B13" i="4"/>
  <c r="B14" i="4"/>
  <c r="I7" i="2"/>
  <c r="C330" i="2"/>
  <c r="E53" i="2" s="1"/>
  <c r="D93" i="4" l="1"/>
  <c r="C93" i="4" s="1"/>
  <c r="D63" i="4"/>
  <c r="B35" i="4"/>
  <c r="E35" i="4" s="1"/>
  <c r="D64" i="4"/>
  <c r="B36" i="4"/>
  <c r="E36" i="4" s="1"/>
  <c r="C92" i="4"/>
  <c r="D53" i="4"/>
  <c r="B39" i="4"/>
  <c r="C52" i="4"/>
  <c r="J16" i="2" s="1"/>
  <c r="B20" i="4"/>
  <c r="J2" i="2"/>
  <c r="D94" i="4" l="1"/>
  <c r="C94" i="4" s="1"/>
  <c r="C53" i="4"/>
  <c r="B4" i="4"/>
  <c r="J15" i="2"/>
  <c r="J3" i="2"/>
  <c r="E37" i="4"/>
  <c r="C40" i="4" s="1"/>
  <c r="E60" i="4" s="1"/>
  <c r="B40" i="4" l="1"/>
  <c r="E58" i="4" l="1"/>
  <c r="C58" i="4" s="1"/>
  <c r="E59" i="4" l="1"/>
  <c r="C59" i="4" s="1"/>
  <c r="D59" i="4" s="1"/>
  <c r="D65" i="4"/>
  <c r="C60" i="4" l="1"/>
  <c r="F58" i="4" s="1"/>
  <c r="B63" i="4" s="1"/>
  <c r="F59" i="4"/>
  <c r="G59" i="4" s="1"/>
  <c r="C64" i="4" s="1"/>
  <c r="B64" i="4" l="1"/>
  <c r="J18" i="2" s="1"/>
  <c r="F60" i="4"/>
  <c r="G58" i="4"/>
  <c r="C63" i="4" s="1"/>
  <c r="J24" i="2" s="1"/>
  <c r="G64" i="4"/>
  <c r="J25" i="2"/>
  <c r="J17" i="2"/>
  <c r="J20" i="2" s="1"/>
  <c r="J26" i="2" l="1"/>
  <c r="G60" i="4"/>
  <c r="H58" i="4" s="1"/>
  <c r="B65" i="4"/>
  <c r="C65" i="4"/>
  <c r="G63" i="4"/>
  <c r="G65" i="4" s="1"/>
  <c r="H65" i="4" s="1"/>
  <c r="H59" i="4" l="1"/>
  <c r="B77" i="4" s="1"/>
  <c r="E77" i="4" s="1"/>
  <c r="B76" i="4"/>
  <c r="E76" i="4" s="1"/>
  <c r="D105" i="4" l="1"/>
  <c r="D104" i="4"/>
  <c r="E78" i="4"/>
  <c r="C81" i="4" s="1"/>
  <c r="B81" i="4" s="1"/>
  <c r="E100" i="4" l="1"/>
  <c r="C100" i="4" s="1"/>
  <c r="D100" i="4" s="1"/>
  <c r="D106" i="4"/>
  <c r="E101" i="4"/>
  <c r="E99" i="4" s="1"/>
  <c r="C99" i="4" s="1"/>
  <c r="C101" i="4" l="1"/>
  <c r="F99" i="4" s="1"/>
  <c r="F100" i="4"/>
  <c r="G100" i="4" s="1"/>
  <c r="C105" i="4" s="1"/>
  <c r="G105" i="4" s="1"/>
  <c r="G99" i="4" l="1"/>
  <c r="C104" i="4" s="1"/>
  <c r="G104" i="4" s="1"/>
  <c r="G106" i="4" s="1"/>
  <c r="H106" i="4" s="1"/>
  <c r="E23" i="3" s="1"/>
  <c r="E32" i="3" s="1"/>
  <c r="E33" i="3" s="1"/>
  <c r="E40" i="3" s="1"/>
  <c r="J4" i="2" s="1"/>
  <c r="B104" i="4"/>
  <c r="B105" i="4"/>
  <c r="F101" i="4"/>
  <c r="G101" i="4" l="1"/>
  <c r="B106" i="4"/>
  <c r="C106" i="4"/>
  <c r="E41" i="3"/>
  <c r="E50" i="3" l="1"/>
  <c r="J5" i="2"/>
  <c r="J7" i="2" s="1"/>
  <c r="J9" i="2" l="1"/>
  <c r="E53" i="3"/>
  <c r="J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Daryl Poole</author>
  </authors>
  <commentList>
    <comment ref="B36" authorId="0" shapeId="0" xr:uid="{CED958B6-359D-4542-8621-A57D84749D84}">
      <text>
        <r>
          <rPr>
            <b/>
            <sz val="10"/>
            <color rgb="FF000000"/>
            <rFont val="Tahoma"/>
            <family val="2"/>
          </rPr>
          <t>Daryl Poole:</t>
        </r>
        <r>
          <rPr>
            <sz val="10"/>
            <color rgb="FF000000"/>
            <rFont val="Tahoma"/>
            <family val="2"/>
          </rPr>
          <t xml:space="preserve">
</t>
        </r>
        <r>
          <rPr>
            <sz val="10"/>
            <color rgb="FF000000"/>
            <rFont val="Tahoma"/>
            <family val="2"/>
          </rPr>
          <t xml:space="preserve">This defaults the to proportion home conserved feed used in the base year.  If all of the all of the conserved feed is going to be fed then this number needs to be entered at 100% </t>
        </r>
      </text>
    </comment>
    <comment ref="B39" authorId="0" shapeId="0" xr:uid="{D867D191-19D9-4F43-994B-D47C4FAEF165}">
      <text>
        <r>
          <rPr>
            <b/>
            <sz val="10"/>
            <color rgb="FF000000"/>
            <rFont val="Tahoma"/>
            <family val="2"/>
          </rPr>
          <t>Daryl Poole:</t>
        </r>
        <r>
          <rPr>
            <sz val="10"/>
            <color rgb="FF000000"/>
            <rFont val="Tahoma"/>
            <family val="2"/>
          </rPr>
          <t xml:space="preserve">
</t>
        </r>
        <r>
          <rPr>
            <sz val="10"/>
            <color rgb="FF000000"/>
            <rFont val="Tahoma"/>
            <family val="2"/>
          </rPr>
          <t xml:space="preserve">If feed inventory is going to be used then estimate tonnes to be used and enter here </t>
        </r>
      </text>
    </comment>
  </commentList>
</comments>
</file>

<file path=xl/sharedStrings.xml><?xml version="1.0" encoding="utf-8"?>
<sst xmlns="http://schemas.openxmlformats.org/spreadsheetml/2006/main" count="326" uniqueCount="210">
  <si>
    <t>Forecast number of milkers</t>
  </si>
  <si>
    <t>Total</t>
  </si>
  <si>
    <t>kgMS/Cow</t>
  </si>
  <si>
    <t>Total  kgMS</t>
  </si>
  <si>
    <t>DM%</t>
  </si>
  <si>
    <t>Fodder</t>
  </si>
  <si>
    <t>Type of Share</t>
  </si>
  <si>
    <t>Volume - ML</t>
  </si>
  <si>
    <t>High Reliability</t>
  </si>
  <si>
    <t>Temporary Water Sale</t>
  </si>
  <si>
    <t>Annual Rainfall</t>
  </si>
  <si>
    <t>Conditional rules</t>
  </si>
  <si>
    <t>lower</t>
  </si>
  <si>
    <t>upper</t>
  </si>
  <si>
    <t>Herd size</t>
  </si>
  <si>
    <t>Forecast</t>
  </si>
  <si>
    <t>Farm Cash Income</t>
  </si>
  <si>
    <t>Milk Income (net)</t>
  </si>
  <si>
    <t>Livestock sales - purchases</t>
  </si>
  <si>
    <t>Feed Sales</t>
  </si>
  <si>
    <t>Water Sales</t>
  </si>
  <si>
    <t>Other Farm Cash Income</t>
  </si>
  <si>
    <t>Total Farm Cash Income</t>
  </si>
  <si>
    <t>Variable Costs</t>
  </si>
  <si>
    <t>AI &amp; Herd Test</t>
  </si>
  <si>
    <t>Animal Health</t>
  </si>
  <si>
    <t>Calf Rearing</t>
  </si>
  <si>
    <t>Other Herd Costs</t>
  </si>
  <si>
    <t>Total Herd Costs</t>
  </si>
  <si>
    <t>Shed Power</t>
  </si>
  <si>
    <t>Dairy Supplies</t>
  </si>
  <si>
    <t>Other Shed Coss</t>
  </si>
  <si>
    <t>Total Shed Costs</t>
  </si>
  <si>
    <t>Feeds Purchased</t>
  </si>
  <si>
    <t>Hay &amp; Silage Making</t>
  </si>
  <si>
    <t>Agistment</t>
  </si>
  <si>
    <t>Fertiliser</t>
  </si>
  <si>
    <t>Water Purchase</t>
  </si>
  <si>
    <t>Other Irrigation Costs</t>
  </si>
  <si>
    <t>Pasture &amp; Crop Costs</t>
  </si>
  <si>
    <t>Fuel &amp; Oil</t>
  </si>
  <si>
    <t>Other Feed Costs</t>
  </si>
  <si>
    <t>Total Feed Costs</t>
  </si>
  <si>
    <t>Total Variable Costs</t>
  </si>
  <si>
    <t>Cash Overheads</t>
  </si>
  <si>
    <t>Employed Labour Cost</t>
  </si>
  <si>
    <t>Farm Insurance</t>
  </si>
  <si>
    <t>Repairs &amp; Maintenance</t>
  </si>
  <si>
    <t>Other Overhead Costs</t>
  </si>
  <si>
    <t>Total Cash Overhead Costs</t>
  </si>
  <si>
    <t>TOTAL FARM WORKING EXPENSES</t>
  </si>
  <si>
    <t>FARM OPERATING CASH SURPLUS</t>
  </si>
  <si>
    <t>Finance Costs</t>
  </si>
  <si>
    <t>Interest Costs</t>
  </si>
  <si>
    <t>Lease Costs</t>
  </si>
  <si>
    <t>Total Finance Costs</t>
  </si>
  <si>
    <t>Capital and Principal Costs</t>
  </si>
  <si>
    <t>Other Capital Purchases</t>
  </si>
  <si>
    <t>Loan Principal Repayments</t>
  </si>
  <si>
    <t>Total Capital and Principal Costs</t>
  </si>
  <si>
    <t>NET FARM CASH FLOW BEFORE TAX AND DRAWINGS</t>
  </si>
  <si>
    <t xml:space="preserve">Grazed Feed </t>
  </si>
  <si>
    <t>t DM per cow</t>
  </si>
  <si>
    <t>Total t DM</t>
  </si>
  <si>
    <t>Supplementary feed</t>
  </si>
  <si>
    <t xml:space="preserve">Purchased Fodder </t>
  </si>
  <si>
    <t xml:space="preserve">Purchased Concentrate </t>
  </si>
  <si>
    <t>Total supplementary feed</t>
  </si>
  <si>
    <t>WATER USE EFFICIENCY</t>
  </si>
  <si>
    <t xml:space="preserve">Total Feed </t>
  </si>
  <si>
    <t>Useable area</t>
  </si>
  <si>
    <t>ha</t>
  </si>
  <si>
    <t>Annual Water Use</t>
  </si>
  <si>
    <t>Megalitres</t>
  </si>
  <si>
    <t>HOME-GROWN FEED</t>
  </si>
  <si>
    <t>Usable Area (tDM/ha)</t>
  </si>
  <si>
    <t>Total (tDM)</t>
  </si>
  <si>
    <t>Pasture utilised ratio</t>
  </si>
  <si>
    <t>ML Irrigation/ Irrigated ha</t>
  </si>
  <si>
    <t>Megalitres / useable ha</t>
  </si>
  <si>
    <t>mm / annum</t>
  </si>
  <si>
    <t>Total Water Use / useable ha</t>
  </si>
  <si>
    <t>mm / useable ha</t>
  </si>
  <si>
    <t>Total Water Use Efficiency</t>
  </si>
  <si>
    <t>t DM/ 100 mm / useable ha</t>
  </si>
  <si>
    <t>Forecast pasture production and feed requirements</t>
  </si>
  <si>
    <t>Value- $/t</t>
  </si>
  <si>
    <t>Forecast irrigation use</t>
  </si>
  <si>
    <t>Forecast annual rainfall</t>
  </si>
  <si>
    <t>t DM / 100 mm / useable ha</t>
  </si>
  <si>
    <t>Milking Area</t>
  </si>
  <si>
    <t>Milk Income</t>
  </si>
  <si>
    <t>Total Farm Working Expenses</t>
  </si>
  <si>
    <t>Farm Operating Cash Surplus</t>
  </si>
  <si>
    <t>Finance Costs (Interest &amp; Lease)</t>
  </si>
  <si>
    <t>Net Farm Cash Flow Before Tax and Drawings</t>
  </si>
  <si>
    <t>Support Area</t>
  </si>
  <si>
    <t>Grazed Feed Fed</t>
  </si>
  <si>
    <t>t DM</t>
  </si>
  <si>
    <t>Homegrown Fodder Fed</t>
  </si>
  <si>
    <t>Purchased Fodder Fed</t>
  </si>
  <si>
    <t>Purchased Concentrate Fed</t>
  </si>
  <si>
    <t>Total Feed Fed</t>
  </si>
  <si>
    <t>Other Cash Items</t>
  </si>
  <si>
    <t>Drawings</t>
  </si>
  <si>
    <t>NET CASH FLOW BEFORE TAX</t>
  </si>
  <si>
    <t>Forecast pasture production</t>
  </si>
  <si>
    <t>(t DM / 100 mm / useable ha)</t>
  </si>
  <si>
    <t>DairyBase data</t>
  </si>
  <si>
    <t>Feed calculations</t>
  </si>
  <si>
    <t>Navigation</t>
  </si>
  <si>
    <t>Forecast inputs</t>
  </si>
  <si>
    <t>Detailed Results</t>
  </si>
  <si>
    <t>Feed Calculations</t>
  </si>
  <si>
    <t>Forecast milk production</t>
  </si>
  <si>
    <t>Editable Values</t>
  </si>
  <si>
    <t>Editable input data</t>
  </si>
  <si>
    <t>Supp feed ration %</t>
  </si>
  <si>
    <t>Total Feed  Required for current milk production</t>
  </si>
  <si>
    <t>Milk production</t>
  </si>
  <si>
    <t>Lower</t>
  </si>
  <si>
    <t>Total useable area</t>
  </si>
  <si>
    <t>Concentrate</t>
  </si>
  <si>
    <t>Low Reliability</t>
  </si>
  <si>
    <t>Hectares</t>
  </si>
  <si>
    <t>Head</t>
  </si>
  <si>
    <t xml:space="preserve">Opening Carry-Over Water </t>
  </si>
  <si>
    <t>Forecast Closing Carry-over Water</t>
  </si>
  <si>
    <t>Entitlement - ML</t>
  </si>
  <si>
    <t>Milk price ($/kgMS)</t>
  </si>
  <si>
    <t>Fodder price ($/t)</t>
  </si>
  <si>
    <t>Concentrate price ($/t)</t>
  </si>
  <si>
    <t>Temporary water price ($/ML)</t>
  </si>
  <si>
    <t>Water owned/leased</t>
  </si>
  <si>
    <t>Calculated values</t>
  </si>
  <si>
    <t>Do not enter data in these cells</t>
  </si>
  <si>
    <t>Forecast water usage</t>
  </si>
  <si>
    <t>Forecast farm physical changes</t>
  </si>
  <si>
    <t>Data entry required</t>
  </si>
  <si>
    <t>Editable values</t>
  </si>
  <si>
    <t>Irrigation Water used</t>
  </si>
  <si>
    <t>ML</t>
  </si>
  <si>
    <t>Total purchased feed</t>
  </si>
  <si>
    <t>MJ ME/kg</t>
  </si>
  <si>
    <t>Total feed required without production changes</t>
  </si>
  <si>
    <t>Total feed required with production changes</t>
  </si>
  <si>
    <t>Total purchased feed cost</t>
  </si>
  <si>
    <t>Total amount spent on concentrate</t>
  </si>
  <si>
    <t>Total amount spent on Fodder</t>
  </si>
  <si>
    <t>Total amount of purchased fodder (t DM)</t>
  </si>
  <si>
    <t>Total amount of fodder fed on support area (t DM)</t>
  </si>
  <si>
    <t>Total fodder fed on support area</t>
  </si>
  <si>
    <t>Homegrown fodder</t>
  </si>
  <si>
    <t>Homegrown concentrate</t>
  </si>
  <si>
    <t>Purchased Fodder (inc support area)</t>
  </si>
  <si>
    <t>Land area</t>
  </si>
  <si>
    <t>WUE</t>
  </si>
  <si>
    <t xml:space="preserve">Forecast </t>
  </si>
  <si>
    <t xml:space="preserve">kgMS per cow </t>
  </si>
  <si>
    <t>Forecast feed inventory use</t>
  </si>
  <si>
    <t>Fodder stores used</t>
  </si>
  <si>
    <t>Concentrate stores used</t>
  </si>
  <si>
    <t>Average energy content of pasture (MJ ME/kg)</t>
  </si>
  <si>
    <t>LRWS Allocation (%)</t>
  </si>
  <si>
    <t>Net Farm Cash Flow Before Captial, Tax and Drawings</t>
  </si>
  <si>
    <t>FORECAST YEAR</t>
  </si>
  <si>
    <t>Wastage</t>
  </si>
  <si>
    <t>purchased supp feed ration %</t>
  </si>
  <si>
    <t>PURCHASED SUPPLEMENTARY FEED</t>
  </si>
  <si>
    <t xml:space="preserve">Conserved Feed </t>
  </si>
  <si>
    <t>Conserved Feed</t>
  </si>
  <si>
    <t>tDM per cow</t>
  </si>
  <si>
    <t>Threshold (tDM/cow/year)</t>
  </si>
  <si>
    <t>Threshold ration</t>
  </si>
  <si>
    <t>tDM/cow</t>
  </si>
  <si>
    <t>Total tDM</t>
  </si>
  <si>
    <t>Summary cash results</t>
  </si>
  <si>
    <t>Feed estimates</t>
  </si>
  <si>
    <t>tDM/cow/year</t>
  </si>
  <si>
    <t>Purchased ration</t>
  </si>
  <si>
    <t>Threshold Check</t>
  </si>
  <si>
    <t>Purchased cost</t>
  </si>
  <si>
    <t xml:space="preserve">Water use efficiency </t>
  </si>
  <si>
    <t>CHANGE IN ENERGY DEMAND (from change in KGMS/cow)</t>
  </si>
  <si>
    <t>Litres per cow</t>
  </si>
  <si>
    <t>Total extra milk produced (L)</t>
  </si>
  <si>
    <t>Energy required for extra Litres (Mj)</t>
  </si>
  <si>
    <t>Difference</t>
  </si>
  <si>
    <t>Additional feed required for milk production change</t>
  </si>
  <si>
    <t>Total on milking area</t>
  </si>
  <si>
    <t>Other water source (eg. Groundwater)</t>
  </si>
  <si>
    <t>Temporary Water Purchased</t>
  </si>
  <si>
    <t xml:space="preserve">Remember to add </t>
  </si>
  <si>
    <t>tDM</t>
  </si>
  <si>
    <t>Professional nutritional advice should be sought to feed this amount of concentrates</t>
  </si>
  <si>
    <t>Maximum concentrate fed per cow</t>
  </si>
  <si>
    <t>Net Farm Cash Flow Before Tax</t>
  </si>
  <si>
    <t>Forecast costs linked to cow numbers</t>
  </si>
  <si>
    <t>Can be overriden</t>
  </si>
  <si>
    <t>Amount of concentrate in forecast year ration (Max 3.0 tDM/cow/year)</t>
  </si>
  <si>
    <t>New ration</t>
  </si>
  <si>
    <t>tDM/year</t>
  </si>
  <si>
    <t xml:space="preserve">Proportion of conserved feed fed </t>
  </si>
  <si>
    <t>Forecast conserved feed fed</t>
  </si>
  <si>
    <t>Total tDM/useable ha utilised</t>
  </si>
  <si>
    <t>Total Purchased Feed</t>
  </si>
  <si>
    <t xml:space="preserve">LESS DRAWINGS </t>
  </si>
  <si>
    <t xml:space="preserve">LESS CAPITAL AND PRINCIPAL REPAYMENTS </t>
  </si>
  <si>
    <t xml:space="preserve">Feed inventory used (in forecast year) </t>
  </si>
  <si>
    <t>HRWS/ General Security Allocation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</si>
</sst>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quot;$&quot;#,##0"/>
    <numFmt numFmtId="165" formatCode="#,##0;[Red]\(#,##0\)"/>
    <numFmt numFmtId="166" formatCode="0.0"/>
    <numFmt numFmtId="167" formatCode="#,##0.0;[Red]\(#,##0.0\)"/>
    <numFmt numFmtId="168" formatCode="#,##0.00;[Red]\(#,##0.00\)"/>
    <numFmt numFmtId="169" formatCode="#,##0.0_);[Red]\(#,##0.0\)"/>
    <numFmt numFmtId="170" formatCode="#,##0.0;[Red]\-\ #,##0.0"/>
    <numFmt numFmtId="171" formatCode="#,##0;[Red]\-\ #,##0"/>
    <numFmt numFmtId="172" formatCode="&quot;$&quot;#,##0;[Red]\-&quot;$&quot;#,##0"/>
    <numFmt numFmtId="173" formatCode="0.0%;[Red]\-\ 0.0%"/>
    <numFmt numFmtId="174" formatCode="#,##0.00;[Red]\-\ #,##0.00"/>
    <numFmt numFmtId="175" formatCode="#,##0.00;[Red]#,##0.00"/>
    <numFmt numFmtId="176" formatCode="#,##0.0;[Red]#,##0.0"/>
    <numFmt numFmtId="177" formatCode="#,##0;[Red]#,##0"/>
    <numFmt numFmtId="178" formatCode="&quot;$&quot;#,##0.00"/>
    <numFmt numFmtId="179" formatCode="_(&quot;$&quot;* #,##0_);_(&quot;$&quot;* \(#,##0\);_(&quot;$&quot;* &quot;-&quot;??_);_(@_)"/>
  </numFmts>
  <fonts count="35">
    <font>
      <sz val="12"/>
      <color theme="1"/>
      <name val="Calibri"/>
      <family val="2"/>
      <scheme val="minor"/>
    </font>
    <font>
      <sz val="12"/>
      <color theme="1"/>
      <name val="Calibri"/>
      <family val="2"/>
      <scheme val="minor"/>
    </font>
    <font>
      <sz val="10"/>
      <name val="Arial"/>
      <family val="2"/>
    </font>
    <font>
      <sz val="11"/>
      <name val="Calibri"/>
      <family val="2"/>
      <scheme val="minor"/>
    </font>
    <font>
      <b/>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b/>
      <sz val="10"/>
      <color rgb="FF004484"/>
      <name val="Arial"/>
      <family val="2"/>
    </font>
    <font>
      <b/>
      <u/>
      <sz val="11"/>
      <name val="Calibri"/>
      <family val="2"/>
    </font>
    <font>
      <sz val="11"/>
      <name val="Calibri"/>
      <family val="2"/>
    </font>
    <font>
      <b/>
      <sz val="11"/>
      <name val="Calibri"/>
      <family val="2"/>
    </font>
    <font>
      <b/>
      <sz val="10"/>
      <name val="Arial"/>
      <family val="2"/>
    </font>
    <font>
      <b/>
      <sz val="18"/>
      <color theme="0"/>
      <name val="Calibri"/>
      <family val="2"/>
      <scheme val="minor"/>
    </font>
    <font>
      <sz val="11"/>
      <color theme="0"/>
      <name val="Calibri"/>
      <family val="2"/>
      <scheme val="minor"/>
    </font>
    <font>
      <b/>
      <sz val="16"/>
      <color theme="1"/>
      <name val="Calibri"/>
      <family val="2"/>
      <scheme val="minor"/>
    </font>
    <font>
      <b/>
      <sz val="16"/>
      <name val="Calibri"/>
      <family val="2"/>
      <scheme val="minor"/>
    </font>
    <font>
      <b/>
      <u/>
      <sz val="11"/>
      <name val="Calibri"/>
      <family val="2"/>
      <scheme val="minor"/>
    </font>
    <font>
      <b/>
      <sz val="11"/>
      <color theme="0"/>
      <name val="Calibri"/>
      <family val="2"/>
      <scheme val="minor"/>
    </font>
    <font>
      <b/>
      <u/>
      <sz val="11"/>
      <color theme="0"/>
      <name val="Calibri"/>
      <family val="2"/>
      <scheme val="minor"/>
    </font>
    <font>
      <b/>
      <sz val="16"/>
      <color theme="0"/>
      <name val="Calibri"/>
      <family val="2"/>
      <scheme val="minor"/>
    </font>
    <font>
      <u/>
      <sz val="12"/>
      <color theme="10"/>
      <name val="Calibri"/>
      <family val="2"/>
      <scheme val="minor"/>
    </font>
    <font>
      <u/>
      <sz val="12"/>
      <color theme="11"/>
      <name val="Calibri"/>
      <family val="2"/>
      <scheme val="minor"/>
    </font>
    <font>
      <u/>
      <sz val="16"/>
      <color theme="10"/>
      <name val="Calibri"/>
      <family val="2"/>
      <scheme val="minor"/>
    </font>
    <font>
      <b/>
      <sz val="16"/>
      <name val="Arial"/>
      <family val="2"/>
    </font>
    <font>
      <sz val="8"/>
      <color theme="1"/>
      <name val="Calibri"/>
      <family val="2"/>
      <scheme val="minor"/>
    </font>
    <font>
      <sz val="8"/>
      <name val="Calibri"/>
      <family val="2"/>
      <scheme val="minor"/>
    </font>
    <font>
      <sz val="16"/>
      <name val="Arial"/>
      <family val="2"/>
    </font>
    <font>
      <sz val="10"/>
      <color rgb="FFFF0000"/>
      <name val="Arial"/>
      <family val="2"/>
    </font>
    <font>
      <b/>
      <sz val="11"/>
      <color rgb="FFFF0000"/>
      <name val="Calibri"/>
      <family val="2"/>
      <scheme val="minor"/>
    </font>
    <font>
      <sz val="9"/>
      <name val="Calibri"/>
      <family val="2"/>
      <scheme val="minor"/>
    </font>
    <font>
      <b/>
      <sz val="12"/>
      <name val="Calibri"/>
      <family val="2"/>
      <scheme val="minor"/>
    </font>
    <font>
      <sz val="10"/>
      <color rgb="FF000000"/>
      <name val="Tahoma"/>
      <family val="2"/>
    </font>
    <font>
      <b/>
      <sz val="10"/>
      <color rgb="FF000000"/>
      <name val="Tahoma"/>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0067B8"/>
        <bgColor indexed="64"/>
      </patternFill>
    </fill>
    <fill>
      <patternFill patternType="solid">
        <fgColor rgb="FFFFFFFF"/>
        <bgColor rgb="FF000000"/>
      </patternFill>
    </fill>
    <fill>
      <patternFill patternType="solid">
        <fgColor theme="7"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8">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9" fontId="8" fillId="0" borderId="3" applyNumberFormat="0" applyAlignment="0" applyProtection="0"/>
    <xf numFmtId="49" fontId="9" fillId="5" borderId="0" applyNumberFormat="0" applyFont="0" applyBorder="0" applyAlignment="0">
      <alignment horizontal="left"/>
    </xf>
    <xf numFmtId="44" fontId="2"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43">
    <xf numFmtId="0" fontId="0" fillId="0" borderId="0" xfId="0"/>
    <xf numFmtId="0" fontId="3" fillId="2" borderId="0" xfId="2" applyFont="1" applyFill="1"/>
    <xf numFmtId="1" fontId="3" fillId="4" borderId="1" xfId="2" applyNumberFormat="1" applyFont="1" applyFill="1" applyBorder="1" applyAlignment="1" applyProtection="1">
      <alignment horizontal="center" vertical="center"/>
      <protection locked="0"/>
    </xf>
    <xf numFmtId="0" fontId="4" fillId="2" borderId="0" xfId="2" applyFont="1" applyFill="1" applyAlignment="1">
      <alignment horizontal="center"/>
    </xf>
    <xf numFmtId="0" fontId="7" fillId="2" borderId="0" xfId="2" applyFont="1" applyFill="1" applyBorder="1" applyAlignment="1">
      <alignment horizontal="center" vertical="center"/>
    </xf>
    <xf numFmtId="0" fontId="3" fillId="2" borderId="0" xfId="2" applyFont="1" applyFill="1" applyBorder="1"/>
    <xf numFmtId="0" fontId="3" fillId="0" borderId="1" xfId="2" applyFont="1" applyBorder="1" applyAlignment="1">
      <alignment horizontal="left" vertical="center"/>
    </xf>
    <xf numFmtId="165" fontId="4" fillId="2" borderId="0" xfId="2" applyNumberFormat="1" applyFont="1" applyFill="1" applyBorder="1" applyAlignment="1" applyProtection="1">
      <alignment horizontal="right" vertical="center" indent="3"/>
      <protection locked="0"/>
    </xf>
    <xf numFmtId="1" fontId="3" fillId="3" borderId="1" xfId="2" applyNumberFormat="1" applyFont="1" applyFill="1" applyBorder="1" applyAlignment="1">
      <alignment horizontal="center" vertical="center"/>
    </xf>
    <xf numFmtId="1" fontId="3" fillId="2" borderId="0" xfId="3" applyNumberFormat="1" applyFont="1" applyFill="1" applyBorder="1" applyAlignment="1" applyProtection="1">
      <alignment horizontal="center" vertical="center"/>
      <protection locked="0"/>
    </xf>
    <xf numFmtId="9" fontId="3" fillId="2" borderId="0" xfId="2" applyNumberFormat="1" applyFont="1" applyFill="1" applyAlignment="1">
      <alignment horizontal="center"/>
    </xf>
    <xf numFmtId="0" fontId="2" fillId="2" borderId="0" xfId="2" applyFill="1"/>
    <xf numFmtId="0" fontId="2" fillId="2" borderId="0" xfId="2" applyFill="1" applyAlignment="1">
      <alignment horizontal="center"/>
    </xf>
    <xf numFmtId="0" fontId="10" fillId="2" borderId="0" xfId="2" applyFont="1" applyFill="1" applyAlignment="1">
      <alignment horizontal="left"/>
    </xf>
    <xf numFmtId="0" fontId="11" fillId="2" borderId="0" xfId="2" applyFont="1" applyFill="1" applyAlignment="1">
      <alignment horizontal="left" indent="2"/>
    </xf>
    <xf numFmtId="0" fontId="2" fillId="3" borderId="0" xfId="2" applyFill="1"/>
    <xf numFmtId="0" fontId="2" fillId="6" borderId="0" xfId="2" applyFill="1"/>
    <xf numFmtId="0" fontId="2" fillId="2" borderId="0" xfId="2" applyFill="1" applyBorder="1"/>
    <xf numFmtId="0" fontId="4" fillId="2" borderId="0" xfId="2" applyFont="1" applyFill="1" applyBorder="1"/>
    <xf numFmtId="0" fontId="4" fillId="2" borderId="0" xfId="2" applyFont="1" applyFill="1" applyBorder="1" applyAlignment="1">
      <alignment horizontal="right"/>
    </xf>
    <xf numFmtId="166" fontId="3" fillId="2" borderId="0" xfId="2" applyNumberFormat="1" applyFont="1" applyFill="1" applyBorder="1"/>
    <xf numFmtId="166" fontId="3" fillId="2" borderId="0" xfId="2" applyNumberFormat="1" applyFont="1" applyFill="1" applyBorder="1" applyAlignment="1">
      <alignment horizontal="right"/>
    </xf>
    <xf numFmtId="9" fontId="3" fillId="2" borderId="0" xfId="3" applyFont="1" applyFill="1" applyBorder="1"/>
    <xf numFmtId="166" fontId="4" fillId="2" borderId="0" xfId="2" applyNumberFormat="1" applyFont="1" applyFill="1" applyBorder="1" applyAlignment="1">
      <alignment horizontal="right"/>
    </xf>
    <xf numFmtId="166" fontId="4" fillId="2" borderId="0" xfId="2" applyNumberFormat="1" applyFont="1" applyFill="1" applyBorder="1"/>
    <xf numFmtId="9" fontId="4" fillId="2" borderId="0" xfId="3" applyFont="1" applyFill="1" applyBorder="1"/>
    <xf numFmtId="0" fontId="3" fillId="2" borderId="0" xfId="2" applyFont="1" applyFill="1" applyBorder="1" applyAlignment="1">
      <alignment horizontal="left" indent="1"/>
    </xf>
    <xf numFmtId="0" fontId="4" fillId="0" borderId="0" xfId="2" applyFont="1" applyFill="1" applyBorder="1" applyAlignment="1">
      <alignment horizontal="right"/>
    </xf>
    <xf numFmtId="0" fontId="13" fillId="2" borderId="0" xfId="2" applyFont="1" applyFill="1" applyBorder="1"/>
    <xf numFmtId="38" fontId="3" fillId="2" borderId="0" xfId="2" applyNumberFormat="1" applyFont="1" applyFill="1" applyBorder="1"/>
    <xf numFmtId="38" fontId="4" fillId="2" borderId="0" xfId="2" applyNumberFormat="1" applyFont="1" applyFill="1" applyBorder="1"/>
    <xf numFmtId="166" fontId="13" fillId="2" borderId="0" xfId="2" applyNumberFormat="1" applyFont="1" applyFill="1"/>
    <xf numFmtId="169" fontId="3" fillId="2" borderId="0" xfId="2" applyNumberFormat="1" applyFont="1" applyFill="1" applyBorder="1"/>
    <xf numFmtId="0" fontId="3" fillId="2" borderId="0" xfId="2" applyFont="1" applyFill="1" applyAlignment="1">
      <alignment horizontal="left" indent="2"/>
    </xf>
    <xf numFmtId="0" fontId="3" fillId="2" borderId="0" xfId="2" applyFont="1" applyFill="1" applyAlignment="1">
      <alignment horizontal="center"/>
    </xf>
    <xf numFmtId="164" fontId="3" fillId="2" borderId="0" xfId="2" applyNumberFormat="1" applyFont="1" applyFill="1" applyAlignment="1">
      <alignment horizontal="center"/>
    </xf>
    <xf numFmtId="164" fontId="5" fillId="2" borderId="0" xfId="6" applyNumberFormat="1" applyFont="1" applyFill="1" applyAlignment="1">
      <alignment horizontal="center"/>
    </xf>
    <xf numFmtId="0" fontId="18" fillId="2" borderId="0" xfId="2" applyFont="1" applyFill="1" applyAlignment="1">
      <alignment horizontal="left"/>
    </xf>
    <xf numFmtId="164" fontId="5" fillId="3" borderId="0" xfId="6" applyNumberFormat="1" applyFont="1" applyFill="1" applyAlignment="1">
      <alignment horizontal="center"/>
    </xf>
    <xf numFmtId="164" fontId="3" fillId="3" borderId="0" xfId="2" applyNumberFormat="1" applyFont="1" applyFill="1" applyAlignment="1">
      <alignment horizontal="center"/>
    </xf>
    <xf numFmtId="0" fontId="4" fillId="3" borderId="0" xfId="2" applyFont="1" applyFill="1" applyAlignment="1">
      <alignment horizontal="left" indent="1"/>
    </xf>
    <xf numFmtId="0" fontId="12" fillId="3" borderId="0" xfId="2" applyFont="1" applyFill="1" applyAlignment="1">
      <alignment horizontal="left" indent="1"/>
    </xf>
    <xf numFmtId="0" fontId="3" fillId="2" borderId="0" xfId="2" applyFont="1" applyFill="1" applyBorder="1" applyAlignment="1">
      <alignment horizontal="center"/>
    </xf>
    <xf numFmtId="0" fontId="13" fillId="2" borderId="0" xfId="2" applyFont="1" applyFill="1" applyAlignment="1">
      <alignment horizontal="center"/>
    </xf>
    <xf numFmtId="9" fontId="2" fillId="2" borderId="0" xfId="1" applyFont="1" applyFill="1" applyBorder="1" applyAlignment="1">
      <alignment horizontal="center"/>
    </xf>
    <xf numFmtId="0" fontId="3" fillId="0" borderId="0" xfId="0" applyFont="1"/>
    <xf numFmtId="0" fontId="3" fillId="12" borderId="0" xfId="0" applyFont="1" applyFill="1"/>
    <xf numFmtId="0" fontId="4" fillId="12" borderId="0" xfId="0" applyFont="1" applyFill="1" applyAlignment="1">
      <alignment horizontal="right"/>
    </xf>
    <xf numFmtId="0" fontId="4" fillId="12" borderId="0" xfId="0" applyFont="1" applyFill="1"/>
    <xf numFmtId="166" fontId="3" fillId="12" borderId="0" xfId="0" applyNumberFormat="1" applyFont="1" applyFill="1"/>
    <xf numFmtId="166" fontId="3" fillId="12" borderId="0" xfId="0" applyNumberFormat="1" applyFont="1" applyFill="1" applyAlignment="1">
      <alignment horizontal="right"/>
    </xf>
    <xf numFmtId="0" fontId="3" fillId="3" borderId="0" xfId="2" applyFont="1" applyFill="1"/>
    <xf numFmtId="0" fontId="3" fillId="3" borderId="0" xfId="2" applyFont="1" applyFill="1" applyAlignment="1">
      <alignment horizontal="center"/>
    </xf>
    <xf numFmtId="0" fontId="22" fillId="2" borderId="0" xfId="15" applyFill="1"/>
    <xf numFmtId="0" fontId="3" fillId="3" borderId="0" xfId="2" applyFont="1" applyFill="1" applyBorder="1"/>
    <xf numFmtId="0" fontId="17" fillId="3" borderId="0" xfId="2" applyFont="1" applyFill="1" applyBorder="1"/>
    <xf numFmtId="0" fontId="24" fillId="2" borderId="0" xfId="15" quotePrefix="1" applyFont="1" applyFill="1" applyBorder="1"/>
    <xf numFmtId="0" fontId="24" fillId="2" borderId="0" xfId="15" applyFont="1" applyFill="1" applyBorder="1"/>
    <xf numFmtId="0" fontId="3" fillId="9" borderId="0" xfId="2" applyFont="1" applyFill="1" applyBorder="1"/>
    <xf numFmtId="0" fontId="17" fillId="3" borderId="0" xfId="2" applyFont="1" applyFill="1"/>
    <xf numFmtId="0" fontId="2" fillId="3" borderId="0" xfId="2" applyFill="1" applyBorder="1"/>
    <xf numFmtId="0" fontId="2" fillId="9" borderId="0" xfId="2" applyFill="1" applyBorder="1"/>
    <xf numFmtId="0" fontId="2" fillId="9" borderId="0" xfId="2" applyFill="1"/>
    <xf numFmtId="0" fontId="25" fillId="3" borderId="0" xfId="2" applyFont="1" applyFill="1"/>
    <xf numFmtId="0" fontId="4" fillId="9" borderId="0" xfId="2" applyFont="1" applyFill="1" applyBorder="1"/>
    <xf numFmtId="0" fontId="4" fillId="9" borderId="0" xfId="2" applyFont="1" applyFill="1" applyBorder="1" applyAlignment="1">
      <alignment horizontal="left"/>
    </xf>
    <xf numFmtId="0" fontId="6" fillId="2" borderId="0" xfId="2" applyFont="1" applyFill="1"/>
    <xf numFmtId="0" fontId="26" fillId="2" borderId="0" xfId="2" applyNumberFormat="1" applyFont="1" applyFill="1" applyBorder="1" applyAlignment="1" applyProtection="1">
      <alignment horizontal="right" vertical="center"/>
    </xf>
    <xf numFmtId="1" fontId="27" fillId="2" borderId="0" xfId="2" applyNumberFormat="1" applyFont="1" applyFill="1" applyAlignment="1">
      <alignment horizontal="center"/>
    </xf>
    <xf numFmtId="0" fontId="26" fillId="0" borderId="0" xfId="2" applyNumberFormat="1" applyFont="1" applyFill="1" applyBorder="1" applyAlignment="1" applyProtection="1">
      <alignment horizontal="right" vertical="center"/>
    </xf>
    <xf numFmtId="0" fontId="27" fillId="2" borderId="0" xfId="2" applyFont="1" applyFill="1" applyAlignment="1">
      <alignment horizontal="center"/>
    </xf>
    <xf numFmtId="0" fontId="28" fillId="2" borderId="0" xfId="2" applyFont="1" applyFill="1"/>
    <xf numFmtId="0" fontId="5" fillId="2" borderId="2" xfId="0" applyFont="1" applyFill="1" applyBorder="1" applyAlignment="1">
      <alignment vertical="center"/>
    </xf>
    <xf numFmtId="0" fontId="5" fillId="2" borderId="0" xfId="0" applyFont="1" applyFill="1" applyBorder="1" applyAlignment="1">
      <alignment vertical="center"/>
    </xf>
    <xf numFmtId="0" fontId="4" fillId="2" borderId="0" xfId="2" applyFont="1" applyFill="1" applyBorder="1" applyAlignment="1">
      <alignment horizontal="center"/>
    </xf>
    <xf numFmtId="0" fontId="4" fillId="3" borderId="0" xfId="2" applyFont="1" applyFill="1" applyAlignment="1">
      <alignment horizontal="left"/>
    </xf>
    <xf numFmtId="0" fontId="12" fillId="3" borderId="0" xfId="2" applyFont="1" applyFill="1" applyAlignment="1">
      <alignment horizontal="left"/>
    </xf>
    <xf numFmtId="164" fontId="7" fillId="3" borderId="0" xfId="6" applyNumberFormat="1" applyFont="1" applyFill="1" applyAlignment="1">
      <alignment horizontal="center"/>
    </xf>
    <xf numFmtId="164" fontId="4" fillId="3" borderId="0" xfId="2" applyNumberFormat="1" applyFont="1" applyFill="1" applyAlignment="1">
      <alignment horizontal="center"/>
    </xf>
    <xf numFmtId="0" fontId="4" fillId="2" borderId="0" xfId="2" applyFont="1" applyFill="1" applyBorder="1" applyAlignment="1">
      <alignment horizontal="center" wrapText="1"/>
    </xf>
    <xf numFmtId="0" fontId="13" fillId="2" borderId="0" xfId="2" applyFont="1" applyFill="1" applyBorder="1" applyAlignment="1">
      <alignment horizontal="center"/>
    </xf>
    <xf numFmtId="166" fontId="3" fillId="2" borderId="0" xfId="2" applyNumberFormat="1" applyFont="1" applyFill="1" applyBorder="1" applyAlignment="1">
      <alignment horizontal="center"/>
    </xf>
    <xf numFmtId="9" fontId="3" fillId="2" borderId="0" xfId="3" applyFont="1" applyFill="1" applyBorder="1" applyAlignment="1">
      <alignment horizontal="center"/>
    </xf>
    <xf numFmtId="164" fontId="2" fillId="2" borderId="0" xfId="1" applyNumberFormat="1" applyFont="1" applyFill="1" applyAlignment="1">
      <alignment horizontal="center"/>
    </xf>
    <xf numFmtId="166" fontId="13" fillId="2" borderId="0" xfId="2" applyNumberFormat="1" applyFont="1" applyFill="1" applyAlignment="1">
      <alignment horizontal="center"/>
    </xf>
    <xf numFmtId="9" fontId="4" fillId="2" borderId="0" xfId="3" applyFont="1" applyFill="1" applyBorder="1" applyAlignment="1">
      <alignment horizontal="center"/>
    </xf>
    <xf numFmtId="164" fontId="13" fillId="2" borderId="0" xfId="2" applyNumberFormat="1" applyFont="1" applyFill="1" applyAlignment="1">
      <alignment horizontal="center"/>
    </xf>
    <xf numFmtId="0" fontId="0" fillId="7" borderId="0" xfId="0" applyFill="1" applyAlignment="1" applyProtection="1">
      <alignment vertical="center"/>
      <protection locked="0"/>
    </xf>
    <xf numFmtId="0" fontId="14" fillId="7" borderId="0" xfId="0" applyFont="1" applyFill="1" applyAlignment="1">
      <alignment vertical="center"/>
    </xf>
    <xf numFmtId="0" fontId="15" fillId="7" borderId="0" xfId="0" applyFont="1" applyFill="1" applyAlignment="1">
      <alignment vertical="center"/>
    </xf>
    <xf numFmtId="0" fontId="0" fillId="7" borderId="0" xfId="0" applyFill="1" applyAlignment="1">
      <alignment vertical="center"/>
    </xf>
    <xf numFmtId="0" fontId="16" fillId="8" borderId="4" xfId="0" applyFont="1" applyFill="1" applyBorder="1" applyAlignment="1" applyProtection="1">
      <alignment horizontal="left" vertical="center" indent="1"/>
      <protection locked="0"/>
    </xf>
    <xf numFmtId="0" fontId="16" fillId="8" borderId="5" xfId="0" applyFont="1" applyFill="1" applyBorder="1" applyAlignment="1">
      <alignment horizontal="left" vertical="center" indent="1"/>
    </xf>
    <xf numFmtId="0" fontId="0" fillId="8" borderId="5" xfId="0" applyFill="1" applyBorder="1" applyAlignment="1">
      <alignment horizontal="left" vertical="center"/>
    </xf>
    <xf numFmtId="0" fontId="0" fillId="8" borderId="5" xfId="0" applyFill="1" applyBorder="1" applyAlignment="1">
      <alignment vertical="center"/>
    </xf>
    <xf numFmtId="0" fontId="3" fillId="8" borderId="2" xfId="0" applyFont="1" applyFill="1" applyBorder="1" applyAlignment="1">
      <alignment vertical="center"/>
    </xf>
    <xf numFmtId="0" fontId="0" fillId="0" borderId="0" xfId="0" applyAlignment="1" applyProtection="1">
      <alignment horizontal="left" vertical="center" indent="1"/>
      <protection locked="0"/>
    </xf>
    <xf numFmtId="0" fontId="0" fillId="0" borderId="0" xfId="0" applyAlignment="1">
      <alignment horizontal="left" vertical="center" indent="1"/>
    </xf>
    <xf numFmtId="0" fontId="0" fillId="0" borderId="0" xfId="0" applyAlignment="1">
      <alignment vertical="center"/>
    </xf>
    <xf numFmtId="0" fontId="15" fillId="0" borderId="0" xfId="0" applyFont="1" applyAlignment="1">
      <alignment vertical="center"/>
    </xf>
    <xf numFmtId="0" fontId="0" fillId="0" borderId="0" xfId="0" applyAlignment="1">
      <alignment horizontal="left" vertical="top" indent="1"/>
    </xf>
    <xf numFmtId="0" fontId="0" fillId="0" borderId="0" xfId="0" applyFill="1" applyBorder="1"/>
    <xf numFmtId="49" fontId="0" fillId="0" borderId="0" xfId="0" applyNumberFormat="1" applyFill="1" applyBorder="1" applyAlignment="1" applyProtection="1">
      <alignment horizontal="left" vertical="center"/>
      <protection locked="0"/>
    </xf>
    <xf numFmtId="0" fontId="17" fillId="9" borderId="4" xfId="0" applyFont="1" applyFill="1" applyBorder="1" applyAlignment="1" applyProtection="1">
      <alignment horizontal="left" vertical="center" indent="1"/>
      <protection locked="0"/>
    </xf>
    <xf numFmtId="0" fontId="17" fillId="9" borderId="5" xfId="0" applyFont="1" applyFill="1" applyBorder="1" applyAlignment="1">
      <alignment horizontal="left" vertical="center" indent="1"/>
    </xf>
    <xf numFmtId="0" fontId="3" fillId="9" borderId="5" xfId="0" applyFont="1" applyFill="1" applyBorder="1" applyAlignment="1">
      <alignment horizontal="left" vertical="center"/>
    </xf>
    <xf numFmtId="0" fontId="3" fillId="9" borderId="5" xfId="0" applyFont="1" applyFill="1" applyBorder="1" applyAlignment="1">
      <alignment horizontal="right" vertical="center" indent="1"/>
    </xf>
    <xf numFmtId="0" fontId="3" fillId="9" borderId="5" xfId="0" applyFont="1" applyFill="1" applyBorder="1" applyAlignment="1">
      <alignment vertical="center"/>
    </xf>
    <xf numFmtId="0" fontId="3" fillId="9" borderId="2" xfId="0" applyFont="1" applyFill="1" applyBorder="1" applyAlignment="1">
      <alignment vertical="center"/>
    </xf>
    <xf numFmtId="0" fontId="3" fillId="0" borderId="0" xfId="0" applyFont="1" applyFill="1"/>
    <xf numFmtId="0" fontId="18" fillId="0" borderId="0" xfId="0" applyFont="1" applyFill="1" applyAlignment="1">
      <alignment horizontal="left" indent="1"/>
    </xf>
    <xf numFmtId="0" fontId="4" fillId="0" borderId="0" xfId="0" applyFont="1" applyFill="1" applyAlignment="1">
      <alignment horizontal="left" indent="1"/>
    </xf>
    <xf numFmtId="165" fontId="3" fillId="0" borderId="0" xfId="0" applyNumberFormat="1" applyFont="1" applyFill="1" applyAlignment="1">
      <alignment horizontal="right" indent="2"/>
    </xf>
    <xf numFmtId="167" fontId="3" fillId="0" borderId="0" xfId="0" applyNumberFormat="1" applyFont="1" applyFill="1" applyAlignment="1">
      <alignment horizontal="right" indent="2"/>
    </xf>
    <xf numFmtId="170" fontId="3" fillId="0" borderId="0" xfId="0" applyNumberFormat="1" applyFont="1" applyFill="1" applyAlignment="1">
      <alignment horizontal="right" indent="2"/>
    </xf>
    <xf numFmtId="9" fontId="3" fillId="0" borderId="0" xfId="1" applyFont="1" applyFill="1" applyAlignment="1">
      <alignment horizontal="right" indent="2"/>
    </xf>
    <xf numFmtId="171" fontId="3" fillId="0" borderId="0" xfId="0" applyNumberFormat="1" applyFont="1" applyFill="1" applyAlignment="1">
      <alignment horizontal="right" indent="2"/>
    </xf>
    <xf numFmtId="171" fontId="3" fillId="0" borderId="0" xfId="0" applyNumberFormat="1" applyFont="1" applyFill="1" applyAlignment="1">
      <alignment horizontal="right"/>
    </xf>
    <xf numFmtId="172" fontId="4" fillId="0" borderId="0" xfId="0" applyNumberFormat="1" applyFont="1" applyFill="1" applyAlignment="1">
      <alignment horizontal="right" indent="2"/>
    </xf>
    <xf numFmtId="173" fontId="4" fillId="0" borderId="0" xfId="0" applyNumberFormat="1" applyFont="1" applyFill="1" applyAlignment="1">
      <alignment horizontal="center"/>
    </xf>
    <xf numFmtId="174" fontId="4" fillId="0" borderId="0" xfId="0" applyNumberFormat="1" applyFont="1" applyFill="1" applyAlignment="1">
      <alignment horizontal="center"/>
    </xf>
    <xf numFmtId="171" fontId="4" fillId="0" borderId="0" xfId="0" applyNumberFormat="1" applyFont="1" applyFill="1" applyAlignment="1">
      <alignment horizontal="center"/>
    </xf>
    <xf numFmtId="165" fontId="4" fillId="0" borderId="0" xfId="0" applyNumberFormat="1" applyFont="1" applyFill="1" applyAlignment="1">
      <alignment horizontal="right" indent="2"/>
    </xf>
    <xf numFmtId="171" fontId="3" fillId="0" borderId="0" xfId="0" applyNumberFormat="1" applyFont="1" applyAlignment="1">
      <alignment horizontal="right" indent="2"/>
    </xf>
    <xf numFmtId="173" fontId="3" fillId="0" borderId="0" xfId="0" applyNumberFormat="1" applyFont="1" applyFill="1" applyAlignment="1">
      <alignment horizontal="right" indent="4"/>
    </xf>
    <xf numFmtId="174" fontId="3" fillId="0" borderId="0" xfId="0" applyNumberFormat="1" applyFont="1" applyFill="1" applyAlignment="1">
      <alignment horizontal="right" indent="4"/>
    </xf>
    <xf numFmtId="171" fontId="3" fillId="0" borderId="0" xfId="0" applyNumberFormat="1" applyFont="1" applyFill="1" applyAlignment="1">
      <alignment horizontal="right" indent="5"/>
    </xf>
    <xf numFmtId="171" fontId="3" fillId="0" borderId="0" xfId="0" applyNumberFormat="1" applyFont="1" applyFill="1" applyAlignment="1">
      <alignment horizontal="right" indent="4"/>
    </xf>
    <xf numFmtId="170" fontId="3" fillId="0" borderId="0" xfId="0" applyNumberFormat="1" applyFont="1" applyFill="1" applyAlignment="1">
      <alignment horizontal="right" indent="4"/>
    </xf>
    <xf numFmtId="0" fontId="3" fillId="0" borderId="0" xfId="1" applyNumberFormat="1" applyFont="1" applyFill="1" applyBorder="1" applyAlignment="1"/>
    <xf numFmtId="0" fontId="3" fillId="0" borderId="0" xfId="1" applyNumberFormat="1" applyFont="1" applyFill="1" applyBorder="1" applyAlignment="1">
      <alignment horizontal="right" indent="1"/>
    </xf>
    <xf numFmtId="171" fontId="3" fillId="0" borderId="0" xfId="0" applyNumberFormat="1" applyFont="1" applyFill="1" applyAlignment="1">
      <alignment horizontal="right" indent="1"/>
    </xf>
    <xf numFmtId="173" fontId="3" fillId="0" borderId="0" xfId="0" applyNumberFormat="1" applyFont="1" applyFill="1" applyAlignment="1">
      <alignment horizontal="right" indent="2"/>
    </xf>
    <xf numFmtId="173" fontId="3" fillId="0" borderId="0" xfId="0" applyNumberFormat="1" applyFont="1" applyFill="1" applyAlignment="1"/>
    <xf numFmtId="173" fontId="3" fillId="0" borderId="0" xfId="0" applyNumberFormat="1" applyFont="1" applyFill="1" applyAlignment="1">
      <alignment horizontal="right" indent="1"/>
    </xf>
    <xf numFmtId="0" fontId="4" fillId="0" borderId="0" xfId="0" applyFont="1" applyFill="1"/>
    <xf numFmtId="165" fontId="4" fillId="0" borderId="0" xfId="0" applyNumberFormat="1" applyFont="1" applyFill="1" applyBorder="1"/>
    <xf numFmtId="0" fontId="17" fillId="10" borderId="4" xfId="0" applyFont="1" applyFill="1" applyBorder="1" applyAlignment="1" applyProtection="1">
      <alignment horizontal="left" vertical="center" indent="1"/>
      <protection locked="0"/>
    </xf>
    <xf numFmtId="0" fontId="17" fillId="10" borderId="5" xfId="0" applyFont="1" applyFill="1" applyBorder="1" applyAlignment="1">
      <alignment horizontal="left" vertical="center" indent="1"/>
    </xf>
    <xf numFmtId="0" fontId="3" fillId="10" borderId="5" xfId="0" applyFont="1" applyFill="1" applyBorder="1" applyAlignment="1">
      <alignment horizontal="left" vertical="center"/>
    </xf>
    <xf numFmtId="0" fontId="3" fillId="10" borderId="5" xfId="0" applyFont="1" applyFill="1" applyBorder="1" applyAlignment="1">
      <alignment horizontal="right" vertical="center" indent="1"/>
    </xf>
    <xf numFmtId="0" fontId="3" fillId="10" borderId="5" xfId="0" applyFont="1" applyFill="1" applyBorder="1" applyAlignment="1">
      <alignment vertical="center"/>
    </xf>
    <xf numFmtId="0" fontId="3" fillId="10" borderId="2" xfId="0" applyFont="1" applyFill="1" applyBorder="1" applyAlignment="1">
      <alignment vertical="center"/>
    </xf>
    <xf numFmtId="0" fontId="18" fillId="0" borderId="0" xfId="0" applyFont="1" applyFill="1" applyAlignment="1">
      <alignment horizontal="left"/>
    </xf>
    <xf numFmtId="165" fontId="4" fillId="0" borderId="0" xfId="0" applyNumberFormat="1" applyFont="1" applyFill="1" applyAlignment="1">
      <alignment horizontal="right" indent="1"/>
    </xf>
    <xf numFmtId="165" fontId="4" fillId="0" borderId="0" xfId="0" applyNumberFormat="1" applyFont="1" applyFill="1" applyAlignment="1">
      <alignment horizontal="center"/>
    </xf>
    <xf numFmtId="0" fontId="3" fillId="0" borderId="0" xfId="0" applyFont="1" applyFill="1" applyAlignment="1">
      <alignment horizontal="right" indent="2"/>
    </xf>
    <xf numFmtId="165" fontId="15" fillId="0" borderId="0" xfId="0" applyNumberFormat="1" applyFont="1" applyFill="1" applyAlignment="1">
      <alignment horizontal="right" indent="2"/>
    </xf>
    <xf numFmtId="167" fontId="3" fillId="0" borderId="0" xfId="0" applyNumberFormat="1" applyFont="1" applyAlignment="1">
      <alignment horizontal="right" indent="2"/>
    </xf>
    <xf numFmtId="175" fontId="3" fillId="0" borderId="0" xfId="0" applyNumberFormat="1" applyFont="1" applyFill="1" applyAlignment="1">
      <alignment horizontal="right" indent="2"/>
    </xf>
    <xf numFmtId="176" fontId="3" fillId="0" borderId="0" xfId="0" applyNumberFormat="1" applyFont="1" applyFill="1" applyAlignment="1">
      <alignment horizontal="right" indent="2"/>
    </xf>
    <xf numFmtId="177" fontId="3" fillId="0" borderId="0" xfId="0" applyNumberFormat="1" applyFont="1" applyFill="1" applyAlignment="1">
      <alignment horizontal="right" indent="2"/>
    </xf>
    <xf numFmtId="0" fontId="4" fillId="0" borderId="0" xfId="0" applyFont="1" applyFill="1" applyAlignment="1">
      <alignment horizontal="right"/>
    </xf>
    <xf numFmtId="10" fontId="3" fillId="0" borderId="0" xfId="1" applyNumberFormat="1" applyFont="1" applyFill="1" applyAlignment="1">
      <alignment horizontal="right" indent="2"/>
    </xf>
    <xf numFmtId="165" fontId="4" fillId="0" borderId="0" xfId="0" applyNumberFormat="1" applyFont="1" applyFill="1" applyAlignment="1">
      <alignment horizontal="right"/>
    </xf>
    <xf numFmtId="165" fontId="4" fillId="0" borderId="0" xfId="0" applyNumberFormat="1" applyFont="1" applyFill="1" applyAlignment="1">
      <alignment horizontal="left" indent="4"/>
    </xf>
    <xf numFmtId="0" fontId="4" fillId="0" borderId="0" xfId="0" applyFont="1" applyFill="1" applyAlignment="1">
      <alignment horizontal="left" indent="2"/>
    </xf>
    <xf numFmtId="0" fontId="4" fillId="0" borderId="0" xfId="0" applyFont="1" applyFill="1" applyAlignment="1">
      <alignment horizontal="left" indent="3"/>
    </xf>
    <xf numFmtId="9" fontId="3" fillId="0" borderId="0" xfId="1" applyFont="1" applyAlignment="1">
      <alignment horizontal="right" indent="2"/>
    </xf>
    <xf numFmtId="165" fontId="15" fillId="0" borderId="0" xfId="0" applyNumberFormat="1" applyFont="1" applyFill="1" applyBorder="1" applyAlignment="1">
      <alignment horizontal="right" indent="2"/>
    </xf>
    <xf numFmtId="167" fontId="15" fillId="0" borderId="0" xfId="0" applyNumberFormat="1" applyFont="1" applyFill="1" applyBorder="1" applyAlignment="1">
      <alignment horizontal="right" indent="2"/>
    </xf>
    <xf numFmtId="9" fontId="15" fillId="0" borderId="0" xfId="1" applyFont="1" applyBorder="1" applyAlignment="1">
      <alignment horizontal="right" indent="2"/>
    </xf>
    <xf numFmtId="165" fontId="3" fillId="0" borderId="6" xfId="0" applyNumberFormat="1" applyFont="1" applyFill="1" applyBorder="1" applyAlignment="1">
      <alignment horizontal="right" indent="2"/>
    </xf>
    <xf numFmtId="167" fontId="3" fillId="0" borderId="6" xfId="0" applyNumberFormat="1" applyFont="1" applyFill="1" applyBorder="1" applyAlignment="1">
      <alignment horizontal="right" indent="2"/>
    </xf>
    <xf numFmtId="9" fontId="3" fillId="0" borderId="6" xfId="1" applyFont="1" applyBorder="1" applyAlignment="1">
      <alignment horizontal="right" indent="2"/>
    </xf>
    <xf numFmtId="0" fontId="11" fillId="0" borderId="0" xfId="0" applyFont="1" applyFill="1" applyAlignment="1">
      <alignment horizontal="left" vertical="center" indent="2"/>
    </xf>
    <xf numFmtId="167" fontId="3" fillId="0" borderId="0" xfId="0" applyNumberFormat="1" applyFont="1" applyFill="1" applyAlignment="1">
      <alignment horizontal="right" indent="4"/>
    </xf>
    <xf numFmtId="9" fontId="3" fillId="0" borderId="0" xfId="1" applyFont="1" applyFill="1" applyAlignment="1">
      <alignment horizontal="right" indent="4"/>
    </xf>
    <xf numFmtId="0" fontId="3" fillId="0" borderId="0" xfId="0" applyFont="1" applyFill="1" applyAlignment="1">
      <alignment horizontal="left" indent="3"/>
    </xf>
    <xf numFmtId="165" fontId="3" fillId="0" borderId="0" xfId="0" applyNumberFormat="1" applyFont="1" applyAlignment="1">
      <alignment horizontal="right" indent="2"/>
    </xf>
    <xf numFmtId="0" fontId="15" fillId="0" borderId="0" xfId="0" applyFont="1" applyFill="1" applyAlignment="1">
      <alignment horizontal="center"/>
    </xf>
    <xf numFmtId="165" fontId="19" fillId="0" borderId="0" xfId="0" applyNumberFormat="1" applyFont="1" applyFill="1" applyAlignment="1">
      <alignment horizontal="center"/>
    </xf>
    <xf numFmtId="0" fontId="19" fillId="0" borderId="0" xfId="0" applyFont="1" applyFill="1" applyAlignment="1">
      <alignment horizontal="center"/>
    </xf>
    <xf numFmtId="165" fontId="15" fillId="0" borderId="0" xfId="0" applyNumberFormat="1" applyFont="1" applyFill="1" applyAlignment="1">
      <alignment horizontal="center"/>
    </xf>
    <xf numFmtId="0" fontId="15" fillId="0" borderId="0" xfId="0" applyFont="1" applyFill="1" applyBorder="1"/>
    <xf numFmtId="0" fontId="3" fillId="0" borderId="0" xfId="0" applyFont="1" applyFill="1" applyAlignment="1">
      <alignment horizontal="left" indent="2"/>
    </xf>
    <xf numFmtId="171" fontId="3" fillId="0" borderId="0" xfId="0" applyNumberFormat="1" applyFont="1" applyFill="1" applyBorder="1" applyAlignment="1">
      <alignment horizontal="right" indent="2"/>
    </xf>
    <xf numFmtId="171" fontId="15" fillId="0" borderId="0" xfId="0" applyNumberFormat="1" applyFont="1" applyFill="1" applyBorder="1" applyAlignment="1">
      <alignment horizontal="right" indent="2"/>
    </xf>
    <xf numFmtId="171" fontId="3" fillId="0" borderId="6" xfId="0" applyNumberFormat="1" applyFont="1" applyFill="1" applyBorder="1" applyAlignment="1">
      <alignment horizontal="right" indent="2"/>
    </xf>
    <xf numFmtId="173" fontId="3" fillId="0" borderId="0" xfId="0" applyNumberFormat="1" applyFont="1" applyFill="1" applyBorder="1" applyAlignment="1">
      <alignment horizontal="right" indent="4"/>
    </xf>
    <xf numFmtId="174" fontId="3" fillId="0" borderId="0" xfId="0" applyNumberFormat="1" applyFont="1" applyFill="1" applyBorder="1" applyAlignment="1">
      <alignment horizontal="right" indent="4"/>
    </xf>
    <xf numFmtId="171" fontId="3" fillId="0" borderId="0" xfId="0" applyNumberFormat="1" applyFont="1" applyFill="1" applyBorder="1" applyAlignment="1">
      <alignment horizontal="right" indent="4"/>
    </xf>
    <xf numFmtId="170" fontId="3" fillId="0" borderId="0" xfId="0" applyNumberFormat="1" applyFont="1" applyFill="1" applyBorder="1" applyAlignment="1">
      <alignment horizontal="right" indent="4"/>
    </xf>
    <xf numFmtId="171" fontId="4" fillId="0" borderId="0" xfId="0" applyNumberFormat="1" applyFont="1" applyFill="1" applyBorder="1" applyAlignment="1">
      <alignment horizontal="right" indent="2"/>
    </xf>
    <xf numFmtId="173" fontId="4" fillId="0" borderId="7" xfId="1" applyNumberFormat="1" applyFont="1" applyFill="1" applyBorder="1" applyAlignment="1">
      <alignment horizontal="right" indent="4"/>
    </xf>
    <xf numFmtId="174" fontId="4" fillId="0" borderId="7" xfId="1" applyNumberFormat="1" applyFont="1" applyFill="1" applyBorder="1" applyAlignment="1">
      <alignment horizontal="right" indent="4"/>
    </xf>
    <xf numFmtId="171" fontId="4" fillId="0" borderId="7" xfId="1" applyNumberFormat="1" applyFont="1" applyFill="1" applyBorder="1" applyAlignment="1">
      <alignment horizontal="right" indent="4"/>
    </xf>
    <xf numFmtId="170" fontId="4" fillId="0" borderId="7" xfId="1" applyNumberFormat="1" applyFont="1" applyFill="1" applyBorder="1" applyAlignment="1">
      <alignment horizontal="right" indent="4"/>
    </xf>
    <xf numFmtId="171" fontId="4" fillId="0" borderId="0" xfId="0" applyNumberFormat="1" applyFont="1" applyFill="1" applyAlignment="1">
      <alignment horizontal="right" indent="2"/>
    </xf>
    <xf numFmtId="170" fontId="3" fillId="0" borderId="0" xfId="0" applyNumberFormat="1" applyFont="1" applyFill="1"/>
    <xf numFmtId="173" fontId="4" fillId="0" borderId="7" xfId="0" applyNumberFormat="1" applyFont="1" applyFill="1" applyBorder="1" applyAlignment="1">
      <alignment horizontal="right" indent="4"/>
    </xf>
    <xf numFmtId="174" fontId="4" fillId="0" borderId="7" xfId="0" applyNumberFormat="1" applyFont="1" applyFill="1" applyBorder="1" applyAlignment="1">
      <alignment horizontal="right" indent="4"/>
    </xf>
    <xf numFmtId="171" fontId="4" fillId="0" borderId="7" xfId="0" applyNumberFormat="1" applyFont="1" applyFill="1" applyBorder="1" applyAlignment="1">
      <alignment horizontal="right" indent="4"/>
    </xf>
    <xf numFmtId="170" fontId="4" fillId="0" borderId="7" xfId="0" applyNumberFormat="1" applyFont="1" applyFill="1" applyBorder="1" applyAlignment="1">
      <alignment horizontal="right" indent="4"/>
    </xf>
    <xf numFmtId="173" fontId="3" fillId="0" borderId="6" xfId="0" applyNumberFormat="1" applyFont="1" applyFill="1" applyBorder="1" applyAlignment="1">
      <alignment horizontal="right" indent="4"/>
    </xf>
    <xf numFmtId="174" fontId="3" fillId="0" borderId="6" xfId="0" applyNumberFormat="1" applyFont="1" applyFill="1" applyBorder="1" applyAlignment="1">
      <alignment horizontal="right" indent="4"/>
    </xf>
    <xf numFmtId="171" fontId="3" fillId="0" borderId="6" xfId="0" applyNumberFormat="1" applyFont="1" applyFill="1" applyBorder="1" applyAlignment="1">
      <alignment horizontal="right" indent="4"/>
    </xf>
    <xf numFmtId="170" fontId="3" fillId="0" borderId="6" xfId="0" applyNumberFormat="1" applyFont="1" applyFill="1" applyBorder="1" applyAlignment="1">
      <alignment horizontal="right" indent="4"/>
    </xf>
    <xf numFmtId="0" fontId="19" fillId="2" borderId="0" xfId="0" applyFont="1" applyFill="1" applyBorder="1" applyAlignment="1">
      <alignment horizontal="left" indent="1"/>
    </xf>
    <xf numFmtId="173" fontId="4" fillId="0" borderId="0" xfId="0" applyNumberFormat="1" applyFont="1" applyFill="1" applyBorder="1" applyAlignment="1">
      <alignment horizontal="right" indent="4"/>
    </xf>
    <xf numFmtId="174" fontId="4" fillId="0" borderId="0" xfId="0" applyNumberFormat="1" applyFont="1" applyFill="1" applyBorder="1" applyAlignment="1">
      <alignment horizontal="right" indent="4"/>
    </xf>
    <xf numFmtId="171" fontId="4" fillId="0" borderId="0" xfId="0" applyNumberFormat="1" applyFont="1" applyFill="1" applyBorder="1" applyAlignment="1">
      <alignment horizontal="right" indent="4"/>
    </xf>
    <xf numFmtId="170" fontId="4" fillId="0" borderId="0" xfId="0" applyNumberFormat="1" applyFont="1" applyFill="1" applyBorder="1" applyAlignment="1">
      <alignment horizontal="right" indent="4"/>
    </xf>
    <xf numFmtId="0" fontId="20" fillId="0" borderId="0" xfId="0" applyFont="1" applyFill="1" applyAlignment="1">
      <alignment horizontal="left" indent="1"/>
    </xf>
    <xf numFmtId="165" fontId="15" fillId="2" borderId="0" xfId="0" applyNumberFormat="1" applyFont="1" applyFill="1" applyBorder="1" applyAlignment="1" applyProtection="1">
      <alignment horizontal="right" vertical="center" indent="6"/>
      <protection locked="0"/>
    </xf>
    <xf numFmtId="0" fontId="15" fillId="2" borderId="0" xfId="0" applyFont="1" applyFill="1" applyBorder="1" applyAlignment="1">
      <alignment horizontal="left" indent="2"/>
    </xf>
    <xf numFmtId="0" fontId="19" fillId="0" borderId="0" xfId="0" applyFont="1" applyFill="1" applyBorder="1"/>
    <xf numFmtId="0" fontId="4" fillId="0" borderId="0" xfId="0" applyFont="1" applyFill="1" applyAlignment="1">
      <alignment horizontal="left"/>
    </xf>
    <xf numFmtId="0" fontId="19" fillId="0" borderId="0" xfId="0" applyFont="1" applyFill="1" applyAlignment="1">
      <alignment horizontal="left" indent="1"/>
    </xf>
    <xf numFmtId="0" fontId="15" fillId="0" borderId="0" xfId="0" applyFont="1" applyFill="1"/>
    <xf numFmtId="173" fontId="4" fillId="0" borderId="0" xfId="0" applyNumberFormat="1" applyFont="1" applyFill="1" applyAlignment="1">
      <alignment horizontal="right" indent="4"/>
    </xf>
    <xf numFmtId="174" fontId="4" fillId="0" borderId="0" xfId="0" applyNumberFormat="1" applyFont="1" applyFill="1" applyAlignment="1">
      <alignment horizontal="right" indent="4"/>
    </xf>
    <xf numFmtId="171" fontId="4" fillId="0" borderId="0" xfId="0" applyNumberFormat="1" applyFont="1" applyFill="1" applyAlignment="1">
      <alignment horizontal="right" indent="4"/>
    </xf>
    <xf numFmtId="170" fontId="4" fillId="0" borderId="0" xfId="0" applyNumberFormat="1" applyFont="1" applyFill="1" applyAlignment="1">
      <alignment horizontal="right" indent="4"/>
    </xf>
    <xf numFmtId="173" fontId="4" fillId="0" borderId="0" xfId="0" applyNumberFormat="1" applyFont="1" applyFill="1" applyAlignment="1">
      <alignment horizontal="right" indent="1"/>
    </xf>
    <xf numFmtId="174" fontId="4" fillId="0" borderId="0" xfId="0" applyNumberFormat="1" applyFont="1" applyFill="1" applyAlignment="1">
      <alignment horizontal="right" indent="1"/>
    </xf>
    <xf numFmtId="171" fontId="4" fillId="0" borderId="0" xfId="0" applyNumberFormat="1" applyFont="1" applyFill="1" applyAlignment="1">
      <alignment horizontal="right" indent="1"/>
    </xf>
    <xf numFmtId="170" fontId="4" fillId="0" borderId="0" xfId="0" applyNumberFormat="1" applyFont="1" applyFill="1" applyAlignment="1">
      <alignment horizontal="right" indent="1"/>
    </xf>
    <xf numFmtId="171" fontId="3" fillId="10" borderId="5" xfId="0" applyNumberFormat="1" applyFont="1" applyFill="1" applyBorder="1" applyAlignment="1">
      <alignment horizontal="right" vertical="center" indent="2"/>
    </xf>
    <xf numFmtId="173" fontId="3" fillId="10" borderId="5" xfId="0" applyNumberFormat="1" applyFont="1" applyFill="1" applyBorder="1" applyAlignment="1">
      <alignment horizontal="left" vertical="center"/>
    </xf>
    <xf numFmtId="174" fontId="3" fillId="10" borderId="5" xfId="0" applyNumberFormat="1" applyFont="1" applyFill="1" applyBorder="1" applyAlignment="1">
      <alignment horizontal="left" vertical="center"/>
    </xf>
    <xf numFmtId="171" fontId="3" fillId="10" borderId="5" xfId="0" applyNumberFormat="1" applyFont="1" applyFill="1" applyBorder="1" applyAlignment="1">
      <alignment horizontal="left" vertical="center"/>
    </xf>
    <xf numFmtId="170" fontId="4" fillId="0" borderId="0" xfId="0" applyNumberFormat="1" applyFont="1" applyFill="1" applyAlignment="1">
      <alignment horizontal="center"/>
    </xf>
    <xf numFmtId="0" fontId="3" fillId="2" borderId="0" xfId="0" applyFont="1" applyFill="1" applyAlignment="1">
      <alignment horizontal="left" indent="2"/>
    </xf>
    <xf numFmtId="0" fontId="3" fillId="2" borderId="0" xfId="0" applyFont="1" applyFill="1" applyAlignment="1">
      <alignment horizontal="left" indent="1"/>
    </xf>
    <xf numFmtId="171" fontId="4" fillId="0" borderId="0" xfId="0" applyNumberFormat="1" applyFont="1" applyAlignment="1">
      <alignment horizontal="right" indent="2"/>
    </xf>
    <xf numFmtId="0" fontId="15" fillId="0" borderId="0" xfId="0" applyFont="1" applyFill="1" applyAlignment="1">
      <alignment horizontal="left" indent="2"/>
    </xf>
    <xf numFmtId="0" fontId="3" fillId="0" borderId="0" xfId="0" applyFont="1" applyFill="1" applyAlignment="1">
      <alignment horizontal="left" indent="4"/>
    </xf>
    <xf numFmtId="171" fontId="4" fillId="0" borderId="7" xfId="0" applyNumberFormat="1" applyFont="1" applyFill="1" applyBorder="1" applyAlignment="1">
      <alignment horizontal="right" indent="2"/>
    </xf>
    <xf numFmtId="173" fontId="3" fillId="0" borderId="0" xfId="0" applyNumberFormat="1" applyFont="1" applyFill="1" applyAlignment="1">
      <alignment horizontal="center"/>
    </xf>
    <xf numFmtId="174" fontId="3" fillId="0" borderId="0" xfId="0" applyNumberFormat="1" applyFont="1" applyFill="1" applyAlignment="1">
      <alignment horizontal="center"/>
    </xf>
    <xf numFmtId="171" fontId="3" fillId="0" borderId="0" xfId="0" applyNumberFormat="1" applyFont="1" applyFill="1" applyAlignment="1">
      <alignment horizontal="center"/>
    </xf>
    <xf numFmtId="174" fontId="3" fillId="0" borderId="0" xfId="0" applyNumberFormat="1" applyFont="1" applyFill="1" applyBorder="1" applyAlignment="1">
      <alignment horizontal="right" wrapText="1" indent="4"/>
    </xf>
    <xf numFmtId="171" fontId="3" fillId="0" borderId="0" xfId="0" applyNumberFormat="1" applyFont="1" applyFill="1" applyBorder="1" applyAlignment="1">
      <alignment horizontal="right" wrapText="1" indent="4"/>
    </xf>
    <xf numFmtId="174" fontId="3" fillId="0" borderId="6" xfId="0" applyNumberFormat="1" applyFont="1" applyFill="1" applyBorder="1" applyAlignment="1">
      <alignment horizontal="right" wrapText="1" indent="4"/>
    </xf>
    <xf numFmtId="171" fontId="3" fillId="0" borderId="6" xfId="0" applyNumberFormat="1" applyFont="1" applyFill="1" applyBorder="1" applyAlignment="1">
      <alignment horizontal="right" wrapText="1" indent="4"/>
    </xf>
    <xf numFmtId="174" fontId="4" fillId="0" borderId="0" xfId="0" applyNumberFormat="1" applyFont="1" applyFill="1" applyBorder="1" applyAlignment="1">
      <alignment horizontal="right" wrapText="1" indent="4"/>
    </xf>
    <xf numFmtId="171" fontId="4" fillId="0" borderId="0" xfId="0" applyNumberFormat="1" applyFont="1" applyFill="1" applyBorder="1" applyAlignment="1">
      <alignment horizontal="right" wrapText="1" indent="4"/>
    </xf>
    <xf numFmtId="174" fontId="3" fillId="0" borderId="0" xfId="0" applyNumberFormat="1" applyFont="1" applyFill="1" applyAlignment="1">
      <alignment horizontal="right" wrapText="1" indent="4"/>
    </xf>
    <xf numFmtId="171" fontId="3" fillId="0" borderId="0" xfId="0" applyNumberFormat="1" applyFont="1" applyFill="1" applyAlignment="1">
      <alignment horizontal="right" wrapText="1" indent="4"/>
    </xf>
    <xf numFmtId="174" fontId="4" fillId="0" borderId="0" xfId="0" applyNumberFormat="1" applyFont="1" applyFill="1" applyAlignment="1">
      <alignment horizontal="right" wrapText="1" indent="4"/>
    </xf>
    <xf numFmtId="171" fontId="4" fillId="0" borderId="0" xfId="0" applyNumberFormat="1" applyFont="1" applyFill="1" applyAlignment="1">
      <alignment horizontal="right" wrapText="1" indent="4"/>
    </xf>
    <xf numFmtId="173" fontId="4" fillId="0" borderId="0" xfId="0" applyNumberFormat="1" applyFont="1" applyFill="1" applyAlignment="1">
      <alignment horizontal="right" indent="2"/>
    </xf>
    <xf numFmtId="0" fontId="4" fillId="0" borderId="0" xfId="0" applyFont="1" applyFill="1" applyAlignment="1">
      <alignment horizontal="right" wrapText="1" indent="4"/>
    </xf>
    <xf numFmtId="3" fontId="3" fillId="0" borderId="0" xfId="0" applyNumberFormat="1" applyFont="1" applyFill="1" applyBorder="1" applyAlignment="1">
      <alignment horizontal="right" indent="2"/>
    </xf>
    <xf numFmtId="0" fontId="19" fillId="0" borderId="0" xfId="0" applyFont="1" applyFill="1"/>
    <xf numFmtId="3" fontId="4" fillId="0" borderId="0" xfId="0" applyNumberFormat="1" applyFont="1" applyFill="1" applyBorder="1" applyAlignment="1">
      <alignment horizontal="right" indent="2"/>
    </xf>
    <xf numFmtId="165" fontId="3" fillId="0" borderId="0" xfId="0" applyNumberFormat="1" applyFont="1" applyFill="1" applyBorder="1" applyAlignment="1">
      <alignment horizontal="right" indent="2"/>
    </xf>
    <xf numFmtId="165" fontId="4" fillId="0" borderId="0" xfId="0" applyNumberFormat="1" applyFont="1" applyFill="1" applyAlignment="1">
      <alignment horizontal="right" indent="4"/>
    </xf>
    <xf numFmtId="0" fontId="4" fillId="0" borderId="0" xfId="0" applyFont="1" applyFill="1" applyAlignment="1">
      <alignment horizontal="right" indent="4"/>
    </xf>
    <xf numFmtId="0" fontId="15" fillId="11" borderId="0" xfId="0" applyFont="1" applyFill="1" applyProtection="1">
      <protection locked="0"/>
    </xf>
    <xf numFmtId="0" fontId="21" fillId="11" borderId="0" xfId="0" applyFont="1" applyFill="1" applyAlignment="1">
      <alignment vertical="center"/>
    </xf>
    <xf numFmtId="0" fontId="15" fillId="11" borderId="0" xfId="0" applyFont="1" applyFill="1" applyAlignment="1">
      <alignment horizontal="left" vertical="center"/>
    </xf>
    <xf numFmtId="0" fontId="15" fillId="11" borderId="0" xfId="0" applyFont="1" applyFill="1" applyAlignment="1">
      <alignment vertical="center"/>
    </xf>
    <xf numFmtId="0" fontId="7" fillId="3" borderId="1" xfId="0" applyFont="1" applyFill="1" applyBorder="1" applyAlignment="1">
      <alignment horizontal="left" vertical="center" indent="1"/>
    </xf>
    <xf numFmtId="0" fontId="0" fillId="0" borderId="8" xfId="0" applyFont="1" applyBorder="1" applyAlignment="1">
      <alignment horizontal="center" vertical="center"/>
    </xf>
    <xf numFmtId="0" fontId="0" fillId="0" borderId="8" xfId="0" applyFont="1" applyBorder="1" applyAlignment="1">
      <alignment horizontal="left" vertical="center" indent="1"/>
    </xf>
    <xf numFmtId="0" fontId="0" fillId="0" borderId="8" xfId="0" applyBorder="1" applyAlignment="1">
      <alignment horizontal="left" vertical="center" indent="1"/>
    </xf>
    <xf numFmtId="165" fontId="0" fillId="0" borderId="8" xfId="0" applyNumberFormat="1" applyFont="1" applyBorder="1" applyAlignment="1">
      <alignment horizontal="right" vertical="center" indent="3"/>
    </xf>
    <xf numFmtId="0" fontId="0" fillId="0" borderId="9" xfId="0" applyFont="1" applyBorder="1" applyAlignment="1">
      <alignment horizontal="center" vertical="center"/>
    </xf>
    <xf numFmtId="0" fontId="0" fillId="0" borderId="9" xfId="0" applyFont="1" applyBorder="1" applyAlignment="1">
      <alignment horizontal="left" vertical="center" indent="1"/>
    </xf>
    <xf numFmtId="0" fontId="0" fillId="0" borderId="9" xfId="0" applyBorder="1" applyAlignment="1">
      <alignment horizontal="left" vertical="center" indent="1"/>
    </xf>
    <xf numFmtId="165" fontId="0" fillId="0" borderId="9" xfId="0" applyNumberFormat="1" applyFont="1" applyBorder="1" applyAlignment="1">
      <alignment horizontal="right" vertical="center" indent="3"/>
    </xf>
    <xf numFmtId="0" fontId="0" fillId="0" borderId="10" xfId="0" applyFont="1" applyBorder="1" applyAlignment="1">
      <alignment horizontal="center" vertical="center"/>
    </xf>
    <xf numFmtId="0" fontId="0" fillId="0" borderId="10" xfId="0" applyBorder="1" applyAlignment="1">
      <alignment horizontal="left" vertical="center" indent="1"/>
    </xf>
    <xf numFmtId="0" fontId="0" fillId="0" borderId="10" xfId="0" applyBorder="1" applyAlignment="1">
      <alignment horizontal="right" vertical="center" indent="3"/>
    </xf>
    <xf numFmtId="0" fontId="13" fillId="2" borderId="0" xfId="2" applyFont="1" applyFill="1"/>
    <xf numFmtId="3" fontId="2" fillId="2" borderId="0" xfId="2" applyNumberFormat="1" applyFill="1"/>
    <xf numFmtId="9" fontId="3" fillId="2" borderId="0" xfId="2" applyNumberFormat="1" applyFont="1" applyFill="1"/>
    <xf numFmtId="0" fontId="29" fillId="2" borderId="0" xfId="2" applyFont="1" applyFill="1"/>
    <xf numFmtId="0" fontId="5" fillId="2" borderId="0" xfId="2" applyNumberFormat="1" applyFont="1" applyFill="1" applyBorder="1" applyAlignment="1" applyProtection="1">
      <alignment horizontal="right" vertical="center"/>
    </xf>
    <xf numFmtId="178" fontId="2" fillId="2" borderId="0" xfId="2" applyNumberFormat="1" applyFill="1" applyAlignment="1">
      <alignment horizontal="center"/>
    </xf>
    <xf numFmtId="0" fontId="3" fillId="2" borderId="0" xfId="2" applyFont="1" applyFill="1" applyBorder="1" applyAlignment="1">
      <alignment horizontal="right"/>
    </xf>
    <xf numFmtId="0" fontId="18" fillId="2" borderId="0" xfId="0" applyFont="1" applyFill="1" applyAlignment="1">
      <alignment horizontal="left"/>
    </xf>
    <xf numFmtId="0" fontId="4" fillId="3" borderId="0" xfId="0" applyFont="1" applyFill="1" applyAlignment="1">
      <alignment horizontal="left"/>
    </xf>
    <xf numFmtId="165" fontId="3" fillId="4" borderId="1" xfId="2" applyNumberFormat="1" applyFont="1" applyFill="1" applyBorder="1" applyAlignment="1" applyProtection="1">
      <alignment horizontal="center" vertical="center"/>
      <protection locked="0"/>
    </xf>
    <xf numFmtId="0" fontId="3" fillId="2" borderId="0" xfId="2" applyFont="1" applyFill="1" applyAlignment="1">
      <alignment horizontal="right"/>
    </xf>
    <xf numFmtId="164" fontId="3" fillId="2" borderId="0" xfId="2" applyNumberFormat="1" applyFont="1" applyFill="1" applyBorder="1" applyAlignment="1" applyProtection="1">
      <alignment horizontal="center" vertical="center"/>
      <protection locked="0"/>
    </xf>
    <xf numFmtId="0" fontId="4" fillId="3" borderId="0" xfId="2" applyFont="1" applyFill="1"/>
    <xf numFmtId="0" fontId="7" fillId="3" borderId="0" xfId="2" applyFont="1" applyFill="1" applyAlignment="1">
      <alignment vertical="center"/>
    </xf>
    <xf numFmtId="0" fontId="7" fillId="3" borderId="0" xfId="2" applyFont="1" applyFill="1" applyBorder="1" applyAlignment="1">
      <alignment horizontal="center" vertical="center"/>
    </xf>
    <xf numFmtId="0" fontId="3" fillId="2" borderId="0" xfId="2" applyFont="1" applyFill="1" applyBorder="1" applyAlignment="1">
      <alignment horizontal="right" indent="1"/>
    </xf>
    <xf numFmtId="0" fontId="3" fillId="2" borderId="0" xfId="2" applyFont="1" applyFill="1" applyBorder="1" applyAlignment="1">
      <alignment horizontal="right" wrapText="1"/>
    </xf>
    <xf numFmtId="1" fontId="5" fillId="9" borderId="1" xfId="2" applyNumberFormat="1" applyFont="1" applyFill="1" applyBorder="1" applyAlignment="1" applyProtection="1">
      <alignment horizontal="center" vertical="center"/>
      <protection locked="0"/>
    </xf>
    <xf numFmtId="0" fontId="3" fillId="2" borderId="0" xfId="2" applyFont="1" applyFill="1" applyAlignment="1">
      <alignment horizontal="left"/>
    </xf>
    <xf numFmtId="0" fontId="5" fillId="2" borderId="0" xfId="2" applyFont="1" applyFill="1" applyAlignment="1">
      <alignment horizontal="left" vertical="center"/>
    </xf>
    <xf numFmtId="3" fontId="5" fillId="2" borderId="0" xfId="2" applyNumberFormat="1" applyFont="1" applyFill="1" applyBorder="1" applyAlignment="1" applyProtection="1">
      <alignment horizontal="left" vertical="center"/>
      <protection locked="0"/>
    </xf>
    <xf numFmtId="0" fontId="26" fillId="2" borderId="0" xfId="2" applyFont="1" applyFill="1" applyAlignment="1">
      <alignment horizontal="left" vertical="center"/>
    </xf>
    <xf numFmtId="0" fontId="3" fillId="9" borderId="1" xfId="2" applyFont="1" applyFill="1" applyBorder="1"/>
    <xf numFmtId="0" fontId="3" fillId="2" borderId="4" xfId="2" applyFont="1" applyFill="1" applyBorder="1"/>
    <xf numFmtId="0" fontId="3" fillId="2" borderId="2" xfId="2" applyFont="1" applyFill="1" applyBorder="1"/>
    <xf numFmtId="0" fontId="3" fillId="2" borderId="4" xfId="2" applyFont="1" applyFill="1" applyBorder="1" applyAlignment="1">
      <alignment horizontal="left" vertical="center"/>
    </xf>
    <xf numFmtId="0" fontId="5" fillId="2" borderId="4" xfId="0" applyFont="1" applyFill="1" applyBorder="1" applyAlignment="1">
      <alignment horizontal="left" vertical="center"/>
    </xf>
    <xf numFmtId="0" fontId="5" fillId="4" borderId="1" xfId="0" applyFont="1" applyFill="1" applyBorder="1" applyAlignment="1">
      <alignment horizontal="left" vertical="center"/>
    </xf>
    <xf numFmtId="0" fontId="3" fillId="3" borderId="1" xfId="2" applyFont="1" applyFill="1" applyBorder="1"/>
    <xf numFmtId="0" fontId="7" fillId="3" borderId="0" xfId="2" applyFont="1" applyFill="1" applyAlignment="1">
      <alignment horizontal="left" vertical="center"/>
    </xf>
    <xf numFmtId="43" fontId="2" fillId="2" borderId="0" xfId="16" applyFont="1" applyFill="1" applyBorder="1" applyAlignment="1">
      <alignment horizontal="center"/>
    </xf>
    <xf numFmtId="166" fontId="2" fillId="2" borderId="0" xfId="2" applyNumberFormat="1" applyFill="1" applyAlignment="1">
      <alignment horizontal="center"/>
    </xf>
    <xf numFmtId="3" fontId="4" fillId="2" borderId="0" xfId="2" applyNumberFormat="1" applyFont="1" applyFill="1" applyBorder="1" applyAlignment="1">
      <alignment horizontal="center"/>
    </xf>
    <xf numFmtId="0" fontId="2" fillId="2" borderId="0" xfId="2" applyFill="1" applyAlignment="1">
      <alignment horizontal="right"/>
    </xf>
    <xf numFmtId="43" fontId="2" fillId="2" borderId="0" xfId="2" applyNumberFormat="1" applyFill="1"/>
    <xf numFmtId="43" fontId="13" fillId="2" borderId="0" xfId="2" applyNumberFormat="1" applyFont="1" applyFill="1"/>
    <xf numFmtId="3" fontId="2" fillId="2" borderId="0" xfId="2" applyNumberFormat="1" applyFont="1" applyFill="1" applyAlignment="1">
      <alignment horizontal="center"/>
    </xf>
    <xf numFmtId="3" fontId="2" fillId="2" borderId="0" xfId="16" applyNumberFormat="1" applyFont="1" applyFill="1" applyAlignment="1">
      <alignment horizontal="center"/>
    </xf>
    <xf numFmtId="0" fontId="4" fillId="12" borderId="0" xfId="0" applyFont="1" applyFill="1" applyAlignment="1">
      <alignment horizontal="center"/>
    </xf>
    <xf numFmtId="0" fontId="2" fillId="2" borderId="0" xfId="2" applyFill="1" applyBorder="1" applyAlignment="1">
      <alignment horizontal="right"/>
    </xf>
    <xf numFmtId="179" fontId="2" fillId="2" borderId="0" xfId="17" applyNumberFormat="1" applyFont="1" applyFill="1"/>
    <xf numFmtId="179" fontId="3" fillId="2" borderId="0" xfId="17" applyNumberFormat="1" applyFont="1" applyFill="1" applyBorder="1"/>
    <xf numFmtId="169" fontId="4" fillId="2" borderId="0" xfId="2" applyNumberFormat="1" applyFont="1" applyFill="1" applyBorder="1"/>
    <xf numFmtId="2" fontId="27" fillId="2" borderId="0" xfId="2" applyNumberFormat="1" applyFont="1" applyFill="1" applyAlignment="1">
      <alignment horizontal="center"/>
    </xf>
    <xf numFmtId="166" fontId="5" fillId="3" borderId="1" xfId="2" applyNumberFormat="1" applyFont="1" applyFill="1" applyBorder="1" applyAlignment="1">
      <alignment horizontal="center"/>
    </xf>
    <xf numFmtId="1" fontId="3" fillId="9" borderId="1" xfId="2" applyNumberFormat="1" applyFont="1" applyFill="1" applyBorder="1" applyAlignment="1" applyProtection="1">
      <alignment horizontal="center" vertical="center"/>
      <protection locked="0"/>
    </xf>
    <xf numFmtId="178" fontId="2" fillId="2" borderId="0" xfId="2" applyNumberFormat="1" applyFill="1"/>
    <xf numFmtId="178" fontId="13" fillId="2" borderId="0" xfId="2" applyNumberFormat="1" applyFont="1" applyFill="1"/>
    <xf numFmtId="165" fontId="4" fillId="0" borderId="0" xfId="0" applyNumberFormat="1" applyFont="1" applyFill="1" applyBorder="1" applyAlignment="1">
      <alignment horizontal="center"/>
    </xf>
    <xf numFmtId="0" fontId="3" fillId="0" borderId="0" xfId="0" applyFont="1" applyFill="1" applyBorder="1"/>
    <xf numFmtId="167" fontId="3" fillId="0" borderId="0" xfId="0" applyNumberFormat="1" applyFont="1" applyFill="1" applyBorder="1" applyAlignment="1">
      <alignment horizontal="right" indent="4"/>
    </xf>
    <xf numFmtId="9" fontId="3" fillId="0" borderId="0" xfId="1" applyFont="1" applyFill="1" applyBorder="1" applyAlignment="1">
      <alignment horizontal="right" indent="4"/>
    </xf>
    <xf numFmtId="167" fontId="3" fillId="0" borderId="0" xfId="0" applyNumberFormat="1" applyFont="1" applyFill="1" applyBorder="1" applyAlignment="1">
      <alignment horizontal="right" indent="2"/>
    </xf>
    <xf numFmtId="176" fontId="3" fillId="0" borderId="0" xfId="0" applyNumberFormat="1" applyFont="1" applyFill="1" applyBorder="1" applyAlignment="1">
      <alignment horizontal="right" indent="2"/>
    </xf>
    <xf numFmtId="167" fontId="3" fillId="0" borderId="0" xfId="0" applyNumberFormat="1" applyFont="1" applyFill="1" applyBorder="1" applyAlignment="1">
      <alignment horizontal="left" indent="4"/>
    </xf>
    <xf numFmtId="0" fontId="3" fillId="0" borderId="0" xfId="0" applyFont="1" applyFill="1" applyBorder="1" applyAlignment="1">
      <alignment horizontal="left"/>
    </xf>
    <xf numFmtId="165" fontId="3" fillId="2" borderId="0" xfId="2" applyNumberFormat="1" applyFont="1" applyFill="1" applyBorder="1" applyAlignment="1">
      <alignment horizontal="center"/>
    </xf>
    <xf numFmtId="167" fontId="3" fillId="2" borderId="0" xfId="2" applyNumberFormat="1" applyFont="1" applyFill="1" applyBorder="1" applyAlignment="1">
      <alignment horizontal="center"/>
    </xf>
    <xf numFmtId="49" fontId="13" fillId="2" borderId="0" xfId="2" applyNumberFormat="1" applyFont="1" applyFill="1" applyAlignment="1">
      <alignment horizontal="center"/>
    </xf>
    <xf numFmtId="9" fontId="5" fillId="2" borderId="0" xfId="3" applyFont="1" applyFill="1" applyBorder="1"/>
    <xf numFmtId="178" fontId="3" fillId="4" borderId="1" xfId="2" applyNumberFormat="1" applyFont="1" applyFill="1" applyBorder="1" applyAlignment="1" applyProtection="1">
      <alignment horizontal="center"/>
      <protection locked="0"/>
    </xf>
    <xf numFmtId="164" fontId="3" fillId="4" borderId="1" xfId="2" applyNumberFormat="1" applyFont="1" applyFill="1" applyBorder="1" applyAlignment="1" applyProtection="1">
      <alignment horizontal="center"/>
      <protection locked="0"/>
    </xf>
    <xf numFmtId="9" fontId="3" fillId="4" borderId="1" xfId="2" applyNumberFormat="1" applyFont="1" applyFill="1" applyBorder="1" applyAlignment="1" applyProtection="1">
      <alignment horizontal="center"/>
      <protection locked="0"/>
    </xf>
    <xf numFmtId="0" fontId="3" fillId="4" borderId="1" xfId="2" applyFont="1" applyFill="1" applyBorder="1" applyAlignment="1" applyProtection="1">
      <alignment horizontal="center"/>
      <protection locked="0"/>
    </xf>
    <xf numFmtId="2" fontId="3" fillId="9" borderId="1" xfId="2" applyNumberFormat="1" applyFont="1" applyFill="1" applyBorder="1" applyAlignment="1" applyProtection="1">
      <alignment horizontal="center"/>
      <protection locked="0"/>
    </xf>
    <xf numFmtId="0" fontId="3" fillId="9" borderId="1" xfId="2" applyFont="1" applyFill="1" applyBorder="1" applyAlignment="1" applyProtection="1">
      <alignment horizontal="center"/>
      <protection locked="0"/>
    </xf>
    <xf numFmtId="1" fontId="3" fillId="9" borderId="1" xfId="2" applyNumberFormat="1" applyFont="1" applyFill="1" applyBorder="1" applyAlignment="1" applyProtection="1">
      <alignment horizontal="center"/>
      <protection locked="0"/>
    </xf>
    <xf numFmtId="3" fontId="5" fillId="3" borderId="1" xfId="2" applyNumberFormat="1" applyFont="1" applyFill="1" applyBorder="1" applyAlignment="1" applyProtection="1">
      <alignment horizontal="center" vertical="center"/>
    </xf>
    <xf numFmtId="49" fontId="4" fillId="2" borderId="0" xfId="2" applyNumberFormat="1" applyFont="1" applyFill="1" applyAlignment="1" applyProtection="1">
      <alignment horizontal="center"/>
    </xf>
    <xf numFmtId="164" fontId="5" fillId="2" borderId="0" xfId="6" applyNumberFormat="1" applyFont="1" applyFill="1" applyAlignment="1" applyProtection="1">
      <alignment horizontal="center"/>
    </xf>
    <xf numFmtId="164" fontId="7" fillId="3" borderId="0" xfId="6" applyNumberFormat="1" applyFont="1" applyFill="1" applyAlignment="1" applyProtection="1">
      <alignment horizontal="center"/>
    </xf>
    <xf numFmtId="164" fontId="5" fillId="3" borderId="0" xfId="6" applyNumberFormat="1" applyFont="1" applyFill="1" applyAlignment="1" applyProtection="1">
      <alignment horizontal="center"/>
    </xf>
    <xf numFmtId="0" fontId="3" fillId="2" borderId="0" xfId="2" applyFont="1" applyFill="1" applyAlignment="1" applyProtection="1">
      <alignment horizontal="center"/>
    </xf>
    <xf numFmtId="164" fontId="3" fillId="2" borderId="0" xfId="2" applyNumberFormat="1" applyFont="1" applyFill="1" applyAlignment="1" applyProtection="1">
      <alignment horizontal="center"/>
    </xf>
    <xf numFmtId="164" fontId="4" fillId="3" borderId="0" xfId="2" applyNumberFormat="1" applyFont="1" applyFill="1" applyAlignment="1" applyProtection="1">
      <alignment horizontal="center"/>
    </xf>
    <xf numFmtId="164" fontId="3" fillId="4" borderId="0" xfId="2" applyNumberFormat="1" applyFont="1" applyFill="1" applyAlignment="1" applyProtection="1">
      <alignment horizontal="center"/>
      <protection locked="0"/>
    </xf>
    <xf numFmtId="166" fontId="5" fillId="3" borderId="0" xfId="2" applyNumberFormat="1" applyFont="1" applyFill="1" applyBorder="1" applyAlignment="1">
      <alignment horizontal="center"/>
    </xf>
    <xf numFmtId="0" fontId="27" fillId="2" borderId="0" xfId="2" applyFont="1" applyFill="1" applyAlignment="1">
      <alignment horizontal="right"/>
    </xf>
    <xf numFmtId="178" fontId="27" fillId="2" borderId="0" xfId="2" applyNumberFormat="1" applyFont="1" applyFill="1" applyBorder="1" applyAlignment="1" applyProtection="1">
      <alignment horizontal="center"/>
      <protection locked="0"/>
    </xf>
    <xf numFmtId="164" fontId="27" fillId="2" borderId="0" xfId="2" applyNumberFormat="1" applyFont="1" applyFill="1" applyBorder="1" applyAlignment="1" applyProtection="1">
      <alignment horizontal="center"/>
      <protection locked="0"/>
    </xf>
    <xf numFmtId="1" fontId="27" fillId="2" borderId="0" xfId="2" applyNumberFormat="1" applyFont="1" applyFill="1" applyBorder="1" applyAlignment="1" applyProtection="1">
      <alignment horizontal="center" vertical="center"/>
      <protection locked="0"/>
    </xf>
    <xf numFmtId="0" fontId="3" fillId="2" borderId="0" xfId="2" applyFont="1" applyFill="1" applyAlignment="1">
      <alignment horizontal="left" indent="1"/>
    </xf>
    <xf numFmtId="168" fontId="3" fillId="2" borderId="0" xfId="2" applyNumberFormat="1" applyFont="1" applyFill="1" applyBorder="1" applyAlignment="1">
      <alignment horizontal="center"/>
    </xf>
    <xf numFmtId="1" fontId="3" fillId="2" borderId="0" xfId="2" applyNumberFormat="1" applyFont="1" applyFill="1"/>
    <xf numFmtId="9" fontId="2" fillId="2" borderId="0" xfId="2" applyNumberFormat="1" applyFill="1" applyAlignment="1">
      <alignment horizontal="center"/>
    </xf>
    <xf numFmtId="0" fontId="3" fillId="0" borderId="0" xfId="16" applyNumberFormat="1" applyFont="1" applyFill="1"/>
    <xf numFmtId="0" fontId="3" fillId="0" borderId="0" xfId="1" applyNumberFormat="1" applyFont="1" applyFill="1" applyBorder="1"/>
    <xf numFmtId="9" fontId="3" fillId="0" borderId="0" xfId="0" applyNumberFormat="1" applyFont="1" applyFill="1"/>
    <xf numFmtId="9" fontId="3" fillId="0" borderId="0" xfId="17" applyNumberFormat="1" applyFont="1" applyFill="1" applyBorder="1" applyAlignment="1">
      <alignment horizontal="right" indent="4"/>
    </xf>
    <xf numFmtId="9" fontId="3" fillId="0" borderId="0" xfId="17" applyNumberFormat="1" applyFont="1" applyFill="1" applyBorder="1" applyAlignment="1">
      <alignment horizontal="center"/>
    </xf>
    <xf numFmtId="0" fontId="3" fillId="0" borderId="0" xfId="17" applyNumberFormat="1" applyFont="1" applyFill="1" applyBorder="1" applyAlignment="1">
      <alignment horizontal="center"/>
    </xf>
    <xf numFmtId="0" fontId="3" fillId="0" borderId="0" xfId="17" applyNumberFormat="1" applyFont="1" applyFill="1" applyBorder="1"/>
    <xf numFmtId="0" fontId="3" fillId="0" borderId="0" xfId="16" applyNumberFormat="1" applyFont="1" applyFill="1" applyBorder="1"/>
    <xf numFmtId="0" fontId="15" fillId="0" borderId="0" xfId="0" applyFont="1" applyAlignment="1">
      <alignment horizontal="right" indent="2"/>
    </xf>
    <xf numFmtId="2" fontId="2" fillId="2" borderId="0" xfId="2" applyNumberFormat="1" applyFill="1" applyAlignment="1">
      <alignment horizontal="center"/>
    </xf>
    <xf numFmtId="9" fontId="2" fillId="2" borderId="0" xfId="1" applyFont="1" applyFill="1"/>
    <xf numFmtId="0" fontId="2" fillId="2" borderId="0" xfId="2" applyFont="1" applyFill="1" applyBorder="1"/>
    <xf numFmtId="166" fontId="2" fillId="2" borderId="0" xfId="2" applyNumberFormat="1" applyFont="1" applyFill="1" applyBorder="1" applyAlignment="1">
      <alignment horizontal="center"/>
    </xf>
    <xf numFmtId="166" fontId="2" fillId="2" borderId="0" xfId="2" applyNumberFormat="1" applyFill="1" applyBorder="1" applyAlignment="1">
      <alignment horizontal="center"/>
    </xf>
    <xf numFmtId="0" fontId="4" fillId="2" borderId="0" xfId="2" applyFont="1" applyFill="1" applyBorder="1" applyAlignment="1">
      <alignment horizontal="left"/>
    </xf>
    <xf numFmtId="0" fontId="2" fillId="2" borderId="0" xfId="2" applyFont="1" applyFill="1" applyAlignment="1">
      <alignment horizontal="right"/>
    </xf>
    <xf numFmtId="3" fontId="13" fillId="2" borderId="0" xfId="2" applyNumberFormat="1" applyFont="1" applyFill="1" applyAlignment="1">
      <alignment horizontal="center"/>
    </xf>
    <xf numFmtId="1" fontId="2" fillId="2" borderId="0" xfId="2" applyNumberFormat="1" applyFont="1" applyFill="1" applyAlignment="1">
      <alignment horizontal="center"/>
    </xf>
    <xf numFmtId="0" fontId="2" fillId="2" borderId="0" xfId="2" applyFont="1" applyFill="1" applyBorder="1" applyAlignment="1">
      <alignment horizontal="right"/>
    </xf>
    <xf numFmtId="2" fontId="3" fillId="2" borderId="0" xfId="2" applyNumberFormat="1" applyFont="1" applyFill="1" applyAlignment="1">
      <alignment horizontal="center"/>
    </xf>
    <xf numFmtId="1" fontId="6" fillId="2" borderId="0" xfId="2" applyNumberFormat="1" applyFont="1" applyFill="1" applyBorder="1" applyAlignment="1" applyProtection="1">
      <alignment horizontal="left" vertical="center"/>
      <protection locked="0"/>
    </xf>
    <xf numFmtId="0" fontId="27" fillId="2" borderId="0" xfId="2" applyFont="1" applyFill="1" applyBorder="1" applyAlignment="1">
      <alignment horizontal="right"/>
    </xf>
    <xf numFmtId="1" fontId="27" fillId="2" borderId="0" xfId="2" applyNumberFormat="1" applyFont="1" applyFill="1" applyBorder="1" applyAlignment="1">
      <alignment horizontal="center"/>
    </xf>
    <xf numFmtId="1" fontId="5" fillId="2" borderId="0" xfId="2" applyNumberFormat="1" applyFont="1" applyFill="1" applyBorder="1" applyAlignment="1">
      <alignment horizontal="center"/>
    </xf>
    <xf numFmtId="0" fontId="27" fillId="2" borderId="0" xfId="2" applyFont="1" applyFill="1"/>
    <xf numFmtId="166" fontId="6" fillId="2" borderId="0" xfId="2" applyNumberFormat="1" applyFont="1" applyFill="1" applyBorder="1" applyAlignment="1">
      <alignment horizontal="left"/>
    </xf>
    <xf numFmtId="0" fontId="3" fillId="8" borderId="1" xfId="2" applyFont="1" applyFill="1" applyBorder="1"/>
    <xf numFmtId="1" fontId="5" fillId="3" borderId="0" xfId="2" applyNumberFormat="1" applyFont="1" applyFill="1" applyBorder="1" applyAlignment="1">
      <alignment horizontal="center"/>
    </xf>
    <xf numFmtId="166" fontId="27" fillId="2" borderId="0" xfId="2" applyNumberFormat="1" applyFont="1" applyFill="1" applyAlignment="1">
      <alignment horizontal="center"/>
    </xf>
    <xf numFmtId="9" fontId="3" fillId="2" borderId="0" xfId="1" applyFont="1" applyFill="1" applyBorder="1" applyAlignment="1">
      <alignment horizontal="center"/>
    </xf>
    <xf numFmtId="9" fontId="26" fillId="2" borderId="0" xfId="1" applyNumberFormat="1" applyFont="1" applyFill="1" applyBorder="1" applyAlignment="1">
      <alignment horizontal="center"/>
    </xf>
    <xf numFmtId="49" fontId="27" fillId="2" borderId="0" xfId="2" applyNumberFormat="1" applyFont="1" applyFill="1" applyAlignment="1">
      <alignment horizontal="right"/>
    </xf>
    <xf numFmtId="0" fontId="0" fillId="2" borderId="0" xfId="0" applyFill="1"/>
    <xf numFmtId="9" fontId="5" fillId="9" borderId="1" xfId="1" applyNumberFormat="1" applyFont="1" applyFill="1" applyBorder="1" applyAlignment="1" applyProtection="1">
      <alignment horizontal="center"/>
      <protection locked="0"/>
    </xf>
    <xf numFmtId="166" fontId="5" fillId="9" borderId="1" xfId="2" applyNumberFormat="1" applyFont="1" applyFill="1" applyBorder="1" applyAlignment="1" applyProtection="1">
      <alignment horizontal="center"/>
      <protection locked="0"/>
    </xf>
    <xf numFmtId="164" fontId="3" fillId="8" borderId="0" xfId="2" applyNumberFormat="1" applyFont="1" applyFill="1" applyAlignment="1" applyProtection="1">
      <alignment horizontal="center"/>
      <protection locked="0"/>
    </xf>
    <xf numFmtId="166" fontId="2" fillId="2" borderId="0" xfId="2" applyNumberFormat="1" applyFill="1"/>
    <xf numFmtId="1" fontId="5" fillId="4" borderId="1" xfId="2" applyNumberFormat="1" applyFont="1" applyFill="1" applyBorder="1" applyAlignment="1" applyProtection="1">
      <alignment horizontal="center"/>
      <protection locked="0"/>
    </xf>
    <xf numFmtId="44" fontId="2" fillId="2" borderId="0" xfId="2" applyNumberFormat="1" applyFill="1"/>
    <xf numFmtId="0" fontId="0" fillId="2" borderId="0" xfId="0" applyFill="1" applyBorder="1"/>
    <xf numFmtId="0" fontId="0" fillId="0" borderId="0" xfId="0" applyFill="1" applyBorder="1" applyAlignment="1" applyProtection="1">
      <alignment horizontal="left" vertical="center"/>
      <protection locked="0"/>
    </xf>
    <xf numFmtId="0" fontId="3" fillId="0" borderId="0" xfId="0" applyFont="1" applyFill="1" applyAlignment="1">
      <alignment horizontal="left" indent="1"/>
    </xf>
    <xf numFmtId="0" fontId="15" fillId="2" borderId="0" xfId="2" applyFont="1" applyFill="1" applyAlignment="1">
      <alignment horizontal="center"/>
    </xf>
    <xf numFmtId="0" fontId="4" fillId="3" borderId="0" xfId="2" applyFont="1" applyFill="1" applyBorder="1"/>
    <xf numFmtId="164" fontId="4" fillId="3" borderId="0" xfId="2" applyNumberFormat="1" applyFont="1" applyFill="1" applyBorder="1" applyAlignment="1">
      <alignment horizontal="center"/>
    </xf>
    <xf numFmtId="0" fontId="32" fillId="3" borderId="15" xfId="2" applyFont="1" applyFill="1" applyBorder="1"/>
    <xf numFmtId="0" fontId="3" fillId="3" borderId="16" xfId="2" applyFont="1" applyFill="1" applyBorder="1"/>
    <xf numFmtId="49" fontId="4" fillId="3" borderId="16" xfId="2" applyNumberFormat="1" applyFont="1" applyFill="1" applyBorder="1" applyAlignment="1">
      <alignment horizontal="center"/>
    </xf>
    <xf numFmtId="0" fontId="4" fillId="3" borderId="17" xfId="2" applyFont="1" applyFill="1" applyBorder="1" applyAlignment="1">
      <alignment horizontal="center"/>
    </xf>
    <xf numFmtId="0" fontId="3" fillId="2" borderId="18" xfId="2" applyFont="1" applyFill="1" applyBorder="1" applyAlignment="1">
      <alignment horizontal="left"/>
    </xf>
    <xf numFmtId="164" fontId="3" fillId="2" borderId="0" xfId="2" applyNumberFormat="1" applyFont="1" applyFill="1" applyBorder="1" applyAlignment="1">
      <alignment horizontal="center"/>
    </xf>
    <xf numFmtId="164" fontId="5" fillId="2" borderId="19" xfId="2" applyNumberFormat="1" applyFont="1" applyFill="1" applyBorder="1" applyAlignment="1">
      <alignment horizontal="center"/>
    </xf>
    <xf numFmtId="164" fontId="3" fillId="2" borderId="19" xfId="2" applyNumberFormat="1" applyFont="1" applyFill="1" applyBorder="1" applyAlignment="1">
      <alignment horizontal="center"/>
    </xf>
    <xf numFmtId="0" fontId="4" fillId="3" borderId="18" xfId="2" applyFont="1" applyFill="1" applyBorder="1" applyAlignment="1">
      <alignment horizontal="left"/>
    </xf>
    <xf numFmtId="164" fontId="4" fillId="8" borderId="19" xfId="2" applyNumberFormat="1" applyFont="1" applyFill="1" applyBorder="1" applyAlignment="1">
      <alignment horizontal="center"/>
    </xf>
    <xf numFmtId="0" fontId="3" fillId="2" borderId="18" xfId="2" applyFont="1" applyFill="1" applyBorder="1"/>
    <xf numFmtId="0" fontId="3" fillId="2" borderId="19" xfId="2" applyFont="1" applyFill="1" applyBorder="1"/>
    <xf numFmtId="164" fontId="4" fillId="13" borderId="19" xfId="2" applyNumberFormat="1" applyFont="1" applyFill="1" applyBorder="1" applyAlignment="1">
      <alignment horizontal="center"/>
    </xf>
    <xf numFmtId="0" fontId="4" fillId="3" borderId="20" xfId="2" applyFont="1" applyFill="1" applyBorder="1" applyAlignment="1">
      <alignment horizontal="left"/>
    </xf>
    <xf numFmtId="0" fontId="3" fillId="3" borderId="3" xfId="2" applyFont="1" applyFill="1" applyBorder="1"/>
    <xf numFmtId="164" fontId="4" fillId="3" borderId="3" xfId="2" applyNumberFormat="1" applyFont="1" applyFill="1" applyBorder="1" applyAlignment="1">
      <alignment horizontal="center"/>
    </xf>
    <xf numFmtId="164" fontId="4" fillId="9" borderId="21" xfId="2" applyNumberFormat="1" applyFont="1" applyFill="1" applyBorder="1" applyAlignment="1">
      <alignment horizontal="center"/>
    </xf>
    <xf numFmtId="0" fontId="4" fillId="3" borderId="16" xfId="2" applyFont="1" applyFill="1" applyBorder="1"/>
    <xf numFmtId="2" fontId="4" fillId="3" borderId="16" xfId="2" applyNumberFormat="1" applyFont="1" applyFill="1" applyBorder="1" applyAlignment="1">
      <alignment horizontal="center"/>
    </xf>
    <xf numFmtId="0" fontId="3" fillId="3" borderId="18" xfId="2" applyFont="1" applyFill="1" applyBorder="1"/>
    <xf numFmtId="0" fontId="31" fillId="3" borderId="0" xfId="2" applyFont="1" applyFill="1" applyBorder="1"/>
    <xf numFmtId="0" fontId="31" fillId="3" borderId="19" xfId="2" applyFont="1" applyFill="1" applyBorder="1"/>
    <xf numFmtId="166" fontId="3" fillId="2" borderId="19" xfId="2" applyNumberFormat="1" applyFont="1" applyFill="1" applyBorder="1" applyAlignment="1">
      <alignment horizontal="center"/>
    </xf>
    <xf numFmtId="0" fontId="6" fillId="2" borderId="0" xfId="2" applyFont="1" applyFill="1" applyBorder="1"/>
    <xf numFmtId="0" fontId="4" fillId="2" borderId="20" xfId="2" applyFont="1" applyFill="1" applyBorder="1" applyAlignment="1">
      <alignment horizontal="left"/>
    </xf>
    <xf numFmtId="0" fontId="30" fillId="2" borderId="3" xfId="2" applyFont="1" applyFill="1" applyBorder="1"/>
    <xf numFmtId="0" fontId="4" fillId="2" borderId="3" xfId="2" applyFont="1" applyFill="1" applyBorder="1"/>
    <xf numFmtId="166" fontId="4" fillId="2" borderId="3" xfId="2" applyNumberFormat="1" applyFont="1" applyFill="1" applyBorder="1" applyAlignment="1">
      <alignment horizontal="center"/>
    </xf>
    <xf numFmtId="166" fontId="4" fillId="2" borderId="21" xfId="2" applyNumberFormat="1" applyFont="1" applyFill="1" applyBorder="1" applyAlignment="1">
      <alignment horizontal="center"/>
    </xf>
    <xf numFmtId="0" fontId="4" fillId="3" borderId="15" xfId="2" applyFont="1" applyFill="1" applyBorder="1"/>
    <xf numFmtId="0" fontId="6" fillId="3" borderId="0" xfId="2" applyFont="1" applyFill="1" applyBorder="1"/>
    <xf numFmtId="0" fontId="31" fillId="3" borderId="0" xfId="2" applyFont="1" applyFill="1" applyBorder="1" applyAlignment="1">
      <alignment horizontal="center"/>
    </xf>
    <xf numFmtId="0" fontId="31" fillId="3" borderId="19" xfId="2" applyFont="1" applyFill="1" applyBorder="1" applyAlignment="1">
      <alignment horizontal="center"/>
    </xf>
    <xf numFmtId="1" fontId="3" fillId="2" borderId="19" xfId="2" applyNumberFormat="1" applyFont="1" applyFill="1" applyBorder="1" applyAlignment="1">
      <alignment horizontal="center"/>
    </xf>
    <xf numFmtId="1" fontId="3" fillId="2" borderId="0" xfId="2" applyNumberFormat="1" applyFont="1" applyFill="1" applyBorder="1" applyAlignment="1">
      <alignment horizontal="center"/>
    </xf>
    <xf numFmtId="0" fontId="3" fillId="2" borderId="3" xfId="2" applyFont="1" applyFill="1" applyBorder="1"/>
    <xf numFmtId="1" fontId="4" fillId="2" borderId="3" xfId="2" applyNumberFormat="1" applyFont="1" applyFill="1" applyBorder="1" applyAlignment="1">
      <alignment horizontal="center"/>
    </xf>
    <xf numFmtId="1" fontId="4" fillId="2" borderId="21" xfId="2" applyNumberFormat="1" applyFont="1" applyFill="1" applyBorder="1" applyAlignment="1">
      <alignment horizontal="center"/>
    </xf>
    <xf numFmtId="1" fontId="3" fillId="9" borderId="0" xfId="2" applyNumberFormat="1" applyFont="1"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3" fillId="0" borderId="0" xfId="0" applyFont="1" applyFill="1" applyAlignment="1">
      <alignment horizontal="left" inden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6" xfId="2" applyFont="1" applyFill="1" applyBorder="1" applyAlignment="1">
      <alignment horizontal="center"/>
    </xf>
  </cellXfs>
  <cellStyles count="18">
    <cellStyle name="CF Level 1" xfId="4" xr:uid="{00000000-0005-0000-0000-000000000000}"/>
    <cellStyle name="CF Sections" xfId="5" xr:uid="{00000000-0005-0000-0000-000001000000}"/>
    <cellStyle name="Comma" xfId="16" builtinId="3"/>
    <cellStyle name="Currency" xfId="17" builtinId="4"/>
    <cellStyle name="Currency 2" xfId="6" xr:uid="{00000000-0005-0000-0000-000002000000}"/>
    <cellStyle name="Followed Hyperlink" xfId="8" builtinId="9" hidden="1"/>
    <cellStyle name="Followed Hyperlink" xfId="10" builtinId="9" hidden="1"/>
    <cellStyle name="Followed Hyperlink" xfId="12" builtinId="9" hidden="1"/>
    <cellStyle name="Followed Hyperlink" xfId="14" builtinId="9"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 name="Normal 2" xfId="2" xr:uid="{00000000-0005-0000-0000-00000D000000}"/>
    <cellStyle name="Percent" xfId="1" builtinId="5"/>
    <cellStyle name="Percent 2" xfId="3" xr:uid="{00000000-0005-0000-0000-00000F000000}"/>
  </cellStyles>
  <dxfs count="4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rgb="FFFF0000"/>
      </font>
      <fill>
        <patternFill>
          <bgColor theme="4" tint="0.79998168889431442"/>
        </patternFill>
      </fill>
    </dxf>
    <dxf>
      <font>
        <color rgb="FFFF0000"/>
      </font>
      <fill>
        <patternFill>
          <bgColor theme="4" tint="0.79998168889431442"/>
        </patternFill>
      </fill>
    </dxf>
    <dxf>
      <font>
        <color rgb="FFFF0000"/>
      </font>
      <fill>
        <patternFill>
          <bgColor theme="4"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fill>
        <patternFill>
          <bgColor theme="0"/>
        </patternFill>
      </fill>
    </dxf>
    <dxf>
      <font>
        <color theme="0"/>
      </font>
      <fill>
        <patternFill>
          <bgColor theme="0"/>
        </patternFill>
      </fill>
    </dxf>
    <dxf>
      <font>
        <color theme="0"/>
      </font>
      <fill>
        <patternFill>
          <bgColor theme="0"/>
        </patternFill>
      </fill>
    </dxf>
    <dxf>
      <font>
        <strike/>
        <color rgb="FFFF000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strike/>
        <color rgb="FFFF0000"/>
      </font>
      <fill>
        <patternFill>
          <bgColor rgb="FFFFC7CE"/>
        </patternFill>
      </fill>
    </dxf>
    <dxf>
      <font>
        <strike/>
        <color rgb="FFFF0000"/>
      </font>
      <fill>
        <patternFill>
          <bgColor rgb="FFFFC7CE"/>
        </patternFill>
      </fill>
    </dxf>
    <dxf>
      <font>
        <strike/>
        <color rgb="FFFF0000"/>
      </font>
      <fill>
        <patternFill>
          <bgColor theme="5" tint="0.79998168889431442"/>
        </patternFill>
      </fill>
    </dxf>
    <dxf>
      <font>
        <strike/>
        <color rgb="FFFF0000"/>
      </font>
      <fill>
        <patternFill>
          <bgColor rgb="FFFFC7CE"/>
        </patternFill>
      </fill>
    </dxf>
    <dxf>
      <font>
        <strike/>
        <color rgb="FFFF0000"/>
      </font>
      <fill>
        <patternFill>
          <bgColor rgb="FFFFC7CE"/>
        </patternFill>
      </fill>
    </dxf>
    <dxf>
      <font>
        <strike/>
        <color rgb="FFFF0000"/>
      </font>
      <fill>
        <patternFill>
          <bgColor rgb="FFFFC7CE"/>
        </patternFill>
      </fill>
    </dxf>
    <dxf>
      <font>
        <strike/>
        <color rgb="FFFF0000"/>
      </font>
      <fill>
        <patternFill>
          <bgColor rgb="FFFFC7CE"/>
        </patternFill>
      </fill>
    </dxf>
    <dxf>
      <font>
        <color rgb="FFFF0000"/>
      </font>
      <fill>
        <patternFill>
          <bgColor theme="0"/>
        </patternFill>
      </fill>
    </dxf>
    <dxf>
      <font>
        <color rgb="FFFF0000"/>
      </font>
      <fill>
        <patternFill>
          <bgColor rgb="FFFFC7CE"/>
        </patternFill>
      </fill>
    </dxf>
    <dxf>
      <font>
        <color rgb="FFFF0000"/>
      </font>
    </dxf>
    <dxf>
      <font>
        <strike/>
        <color rgb="FF9C0006"/>
      </font>
      <fill>
        <patternFill>
          <bgColor rgb="FFFFC7CE"/>
        </patternFill>
      </fill>
    </dxf>
    <dxf>
      <font>
        <strike/>
        <color rgb="FF9C0006"/>
      </font>
      <fill>
        <patternFill>
          <bgColor rgb="FFFFC7CE"/>
        </patternFill>
      </fill>
    </dxf>
  </dxfs>
  <tableStyles count="0" defaultTableStyle="TableStyleMedium9" defaultPivotStyle="PivotStyleMedium7"/>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7480300</xdr:colOff>
      <xdr:row>15</xdr:row>
      <xdr:rowOff>56284</xdr:rowOff>
    </xdr:to>
    <xdr:pic>
      <xdr:nvPicPr>
        <xdr:cNvPr id="2" name="Picture 1">
          <a:extLst>
            <a:ext uri="{FF2B5EF4-FFF2-40B4-BE49-F238E27FC236}">
              <a16:creationId xmlns:a16="http://schemas.microsoft.com/office/drawing/2014/main" id="{21AB00A8-324D-A943-8F60-3817A8E04FED}"/>
            </a:ext>
          </a:extLst>
        </xdr:cNvPr>
        <xdr:cNvPicPr>
          <a:picLocks noChangeAspect="1"/>
        </xdr:cNvPicPr>
      </xdr:nvPicPr>
      <xdr:blipFill>
        <a:blip xmlns:r="http://schemas.openxmlformats.org/officeDocument/2006/relationships" r:embed="rId1"/>
        <a:stretch>
          <a:fillRect/>
        </a:stretch>
      </xdr:blipFill>
      <xdr:spPr>
        <a:xfrm>
          <a:off x="152400" y="0"/>
          <a:ext cx="7327900" cy="3104284"/>
        </a:xfrm>
        <a:prstGeom prst="rect">
          <a:avLst/>
        </a:prstGeom>
      </xdr:spPr>
    </xdr:pic>
    <xdr:clientData/>
  </xdr:twoCellAnchor>
  <xdr:twoCellAnchor editAs="oneCell">
    <xdr:from>
      <xdr:col>0</xdr:col>
      <xdr:colOff>330199</xdr:colOff>
      <xdr:row>14</xdr:row>
      <xdr:rowOff>177799</xdr:rowOff>
    </xdr:from>
    <xdr:to>
      <xdr:col>3</xdr:col>
      <xdr:colOff>33828</xdr:colOff>
      <xdr:row>57</xdr:row>
      <xdr:rowOff>139700</xdr:rowOff>
    </xdr:to>
    <xdr:pic>
      <xdr:nvPicPr>
        <xdr:cNvPr id="8" name="Picture 7">
          <a:extLst>
            <a:ext uri="{FF2B5EF4-FFF2-40B4-BE49-F238E27FC236}">
              <a16:creationId xmlns:a16="http://schemas.microsoft.com/office/drawing/2014/main" id="{5B55BE60-7D6B-3641-A300-AFDBDD6BEA77}"/>
            </a:ext>
          </a:extLst>
        </xdr:cNvPr>
        <xdr:cNvPicPr>
          <a:picLocks noChangeAspect="1"/>
        </xdr:cNvPicPr>
      </xdr:nvPicPr>
      <xdr:blipFill>
        <a:blip xmlns:r="http://schemas.openxmlformats.org/officeDocument/2006/relationships" r:embed="rId2"/>
        <a:stretch>
          <a:fillRect/>
        </a:stretch>
      </xdr:blipFill>
      <xdr:spPr>
        <a:xfrm>
          <a:off x="330199" y="3022599"/>
          <a:ext cx="9381029" cy="8699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0</xdr:row>
      <xdr:rowOff>0</xdr:rowOff>
    </xdr:from>
    <xdr:to>
      <xdr:col>8</xdr:col>
      <xdr:colOff>292100</xdr:colOff>
      <xdr:row>1</xdr:row>
      <xdr:rowOff>25400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3200" y="0"/>
          <a:ext cx="146050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xdr:colOff>
      <xdr:row>0</xdr:row>
      <xdr:rowOff>0</xdr:rowOff>
    </xdr:from>
    <xdr:to>
      <xdr:col>8</xdr:col>
      <xdr:colOff>495300</xdr:colOff>
      <xdr:row>1</xdr:row>
      <xdr:rowOff>25400</xdr:rowOff>
    </xdr:to>
    <xdr:pic>
      <xdr:nvPicPr>
        <xdr:cNvPr id="10" name="Picture 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3200" y="0"/>
          <a:ext cx="166370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xdr:colOff>
      <xdr:row>0</xdr:row>
      <xdr:rowOff>0</xdr:rowOff>
    </xdr:from>
    <xdr:to>
      <xdr:col>8</xdr:col>
      <xdr:colOff>495300</xdr:colOff>
      <xdr:row>1</xdr:row>
      <xdr:rowOff>25400</xdr:rowOff>
    </xdr:to>
    <xdr:pic>
      <xdr:nvPicPr>
        <xdr:cNvPr id="11" name="Picture 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3200" y="0"/>
          <a:ext cx="166370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63500</xdr:colOff>
      <xdr:row>27</xdr:row>
      <xdr:rowOff>63500</xdr:rowOff>
    </xdr:from>
    <xdr:to>
      <xdr:col>9</xdr:col>
      <xdr:colOff>415192</xdr:colOff>
      <xdr:row>33</xdr:row>
      <xdr:rowOff>92808</xdr:rowOff>
    </xdr:to>
    <xdr:sp macro="" textlink="">
      <xdr:nvSpPr>
        <xdr:cNvPr id="2" name="TextBox 1">
          <a:extLst>
            <a:ext uri="{FF2B5EF4-FFF2-40B4-BE49-F238E27FC236}">
              <a16:creationId xmlns:a16="http://schemas.microsoft.com/office/drawing/2014/main" id="{BE5009AA-CF6A-9A43-80C6-6ECB0550C03F}"/>
            </a:ext>
          </a:extLst>
        </xdr:cNvPr>
        <xdr:cNvSpPr txBox="1"/>
      </xdr:nvSpPr>
      <xdr:spPr>
        <a:xfrm>
          <a:off x="7772400" y="5245100"/>
          <a:ext cx="2002692" cy="1172308"/>
        </a:xfrm>
        <a:prstGeom prst="rect">
          <a:avLst/>
        </a:prstGeom>
        <a:solidFill>
          <a:schemeClr val="accent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Additional feed costs attributed to changes in young stock managment in</a:t>
          </a:r>
          <a:r>
            <a:rPr lang="en-US" sz="1100" b="1" baseline="0"/>
            <a:t> the forecast year</a:t>
          </a:r>
          <a:r>
            <a:rPr lang="en-US" sz="1100" b="1"/>
            <a:t> need to be manually entered in 'Other</a:t>
          </a:r>
          <a:r>
            <a:rPr lang="en-US" sz="1100" b="1" baseline="0"/>
            <a:t> feed costs'</a:t>
          </a:r>
          <a:r>
            <a:rPr lang="en-US" sz="1100" b="1"/>
            <a:t> </a:t>
          </a:r>
        </a:p>
      </xdr:txBody>
    </xdr:sp>
    <xdr:clientData/>
  </xdr:twoCellAnchor>
  <xdr:twoCellAnchor>
    <xdr:from>
      <xdr:col>5</xdr:col>
      <xdr:colOff>127000</xdr:colOff>
      <xdr:row>30</xdr:row>
      <xdr:rowOff>88900</xdr:rowOff>
    </xdr:from>
    <xdr:to>
      <xdr:col>6</xdr:col>
      <xdr:colOff>673100</xdr:colOff>
      <xdr:row>30</xdr:row>
      <xdr:rowOff>88900</xdr:rowOff>
    </xdr:to>
    <xdr:cxnSp macro="">
      <xdr:nvCxnSpPr>
        <xdr:cNvPr id="4" name="Straight Arrow Connector 3">
          <a:extLst>
            <a:ext uri="{FF2B5EF4-FFF2-40B4-BE49-F238E27FC236}">
              <a16:creationId xmlns:a16="http://schemas.microsoft.com/office/drawing/2014/main" id="{91D73F4A-C078-DC47-AD34-3C9E944B6062}"/>
            </a:ext>
          </a:extLst>
        </xdr:cNvPr>
        <xdr:cNvCxnSpPr/>
      </xdr:nvCxnSpPr>
      <xdr:spPr>
        <a:xfrm flipH="1">
          <a:off x="6184900" y="5842000"/>
          <a:ext cx="1371600" cy="0"/>
        </a:xfrm>
        <a:prstGeom prst="straightConnector1">
          <a:avLst/>
        </a:prstGeom>
        <a:ln w="57150">
          <a:solidFill>
            <a:schemeClr val="accent2">
              <a:lumMod val="20000"/>
              <a:lumOff val="80000"/>
            </a:schemeClr>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RMCG%20Bendigo/RMCG%20Client%20Files/DARYL-25/L-Z/25-M-145%20MD%20Business%20tool%20update/Scenario%20Planner%20Test%201.03%20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cess Own Grain"/>
      <sheetName val="Agist Young Stock"/>
      <sheetName val="TWE - Summer+Fodder"/>
      <sheetName val="TWE - Spring"/>
      <sheetName val="Nitrogen"/>
      <sheetName val="Less Cows"/>
      <sheetName val="More Cows"/>
      <sheetName val="MAIN MENU"/>
      <sheetName val="PART A - Instructions"/>
      <sheetName val="Seasonal Impact"/>
      <sheetName val="PART B - Instructions"/>
      <sheetName val="DB data"/>
      <sheetName val="Feed"/>
      <sheetName val="Summary"/>
      <sheetName val="Forecast year input"/>
      <sheetName val="LY Farm data"/>
      <sheetName val="TY Farm data"/>
      <sheetName val="TY Feed"/>
      <sheetName val="$ Impact"/>
      <sheetName val="Balance Sheet"/>
      <sheetName val="Cashflow"/>
      <sheetName val="Paddocks"/>
    </sheetNames>
    <sheetDataSet>
      <sheetData sheetId="0" refreshError="1"/>
      <sheetData sheetId="1" refreshError="1">
        <row r="12">
          <cell r="E12">
            <v>0</v>
          </cell>
          <cell r="O12">
            <v>30000</v>
          </cell>
          <cell r="P12">
            <v>5000</v>
          </cell>
        </row>
        <row r="13">
          <cell r="O13">
            <v>20</v>
          </cell>
          <cell r="P13">
            <v>5</v>
          </cell>
        </row>
        <row r="14">
          <cell r="J14">
            <v>10</v>
          </cell>
        </row>
        <row r="16">
          <cell r="J16">
            <v>0.1</v>
          </cell>
        </row>
        <row r="21">
          <cell r="E21">
            <v>800</v>
          </cell>
          <cell r="J21">
            <v>500</v>
          </cell>
        </row>
        <row r="22">
          <cell r="E22">
            <v>220</v>
          </cell>
          <cell r="J22">
            <v>600</v>
          </cell>
        </row>
        <row r="23">
          <cell r="J23">
            <v>2000</v>
          </cell>
        </row>
        <row r="24">
          <cell r="J24">
            <v>2000</v>
          </cell>
        </row>
        <row r="25">
          <cell r="J25">
            <v>0</v>
          </cell>
        </row>
        <row r="28">
          <cell r="E28">
            <v>0</v>
          </cell>
        </row>
        <row r="31">
          <cell r="J31">
            <v>0</v>
          </cell>
        </row>
      </sheetData>
      <sheetData sheetId="2" refreshError="1">
        <row r="12">
          <cell r="E12">
            <v>0</v>
          </cell>
          <cell r="O12">
            <v>10</v>
          </cell>
          <cell r="P12">
            <v>3</v>
          </cell>
        </row>
        <row r="13">
          <cell r="J13">
            <v>40</v>
          </cell>
          <cell r="O13">
            <v>220</v>
          </cell>
          <cell r="P13">
            <v>40</v>
          </cell>
        </row>
        <row r="14">
          <cell r="J14">
            <v>13</v>
          </cell>
        </row>
        <row r="19">
          <cell r="E19">
            <v>6</v>
          </cell>
          <cell r="J19">
            <v>1300</v>
          </cell>
        </row>
        <row r="20">
          <cell r="E20">
            <v>0.15</v>
          </cell>
          <cell r="J20">
            <v>1500</v>
          </cell>
        </row>
        <row r="21">
          <cell r="E21">
            <v>0.85</v>
          </cell>
          <cell r="J21">
            <v>0</v>
          </cell>
        </row>
        <row r="22">
          <cell r="J22">
            <v>0</v>
          </cell>
        </row>
        <row r="27">
          <cell r="E27">
            <v>2000</v>
          </cell>
        </row>
        <row r="28">
          <cell r="E28">
            <v>0</v>
          </cell>
        </row>
        <row r="29">
          <cell r="E29">
            <v>0</v>
          </cell>
        </row>
        <row r="30">
          <cell r="J30">
            <v>0</v>
          </cell>
        </row>
      </sheetData>
      <sheetData sheetId="3" refreshError="1">
        <row r="12">
          <cell r="E12">
            <v>0</v>
          </cell>
        </row>
        <row r="13">
          <cell r="J13">
            <v>6</v>
          </cell>
          <cell r="O13">
            <v>6</v>
          </cell>
          <cell r="P13">
            <v>2</v>
          </cell>
        </row>
        <row r="14">
          <cell r="O14">
            <v>220</v>
          </cell>
          <cell r="P14">
            <v>40</v>
          </cell>
        </row>
        <row r="15">
          <cell r="J15">
            <v>120</v>
          </cell>
        </row>
        <row r="16">
          <cell r="J16">
            <v>7.5</v>
          </cell>
        </row>
        <row r="20">
          <cell r="J20">
            <v>25</v>
          </cell>
        </row>
        <row r="21">
          <cell r="E21">
            <v>0.15</v>
          </cell>
          <cell r="J21">
            <v>100</v>
          </cell>
        </row>
        <row r="22">
          <cell r="E22">
            <v>0.85</v>
          </cell>
          <cell r="J22">
            <v>100</v>
          </cell>
        </row>
        <row r="23">
          <cell r="J23">
            <v>50</v>
          </cell>
        </row>
        <row r="24">
          <cell r="J24">
            <v>320</v>
          </cell>
        </row>
        <row r="25">
          <cell r="J25">
            <v>0</v>
          </cell>
        </row>
        <row r="28">
          <cell r="E28">
            <v>0</v>
          </cell>
        </row>
        <row r="29">
          <cell r="E29">
            <v>0</v>
          </cell>
        </row>
        <row r="30">
          <cell r="E30">
            <v>0</v>
          </cell>
        </row>
        <row r="32">
          <cell r="J32">
            <v>0</v>
          </cell>
        </row>
      </sheetData>
      <sheetData sheetId="4" refreshError="1">
        <row r="12">
          <cell r="E12">
            <v>0</v>
          </cell>
          <cell r="O12">
            <v>1</v>
          </cell>
          <cell r="P12">
            <v>0.2</v>
          </cell>
        </row>
        <row r="13">
          <cell r="J13">
            <v>100</v>
          </cell>
          <cell r="O13">
            <v>220</v>
          </cell>
          <cell r="P13">
            <v>40</v>
          </cell>
        </row>
        <row r="14">
          <cell r="J14">
            <v>200</v>
          </cell>
        </row>
        <row r="15">
          <cell r="J15">
            <v>7.5</v>
          </cell>
        </row>
        <row r="19">
          <cell r="J19">
            <v>0</v>
          </cell>
        </row>
        <row r="20">
          <cell r="E20">
            <v>0.15</v>
          </cell>
          <cell r="J20">
            <v>0</v>
          </cell>
        </row>
        <row r="21">
          <cell r="E21">
            <v>0.85</v>
          </cell>
          <cell r="J21">
            <v>0</v>
          </cell>
        </row>
        <row r="27">
          <cell r="E27">
            <v>0</v>
          </cell>
        </row>
        <row r="28">
          <cell r="E28">
            <v>0</v>
          </cell>
          <cell r="J28">
            <v>0</v>
          </cell>
        </row>
        <row r="29">
          <cell r="E29">
            <v>0</v>
          </cell>
        </row>
      </sheetData>
      <sheetData sheetId="5" refreshError="1">
        <row r="12">
          <cell r="E12">
            <v>0</v>
          </cell>
          <cell r="O12">
            <v>10</v>
          </cell>
          <cell r="P12">
            <v>2</v>
          </cell>
        </row>
        <row r="13">
          <cell r="J13">
            <v>20</v>
          </cell>
          <cell r="O13">
            <v>220</v>
          </cell>
          <cell r="P13">
            <v>40</v>
          </cell>
        </row>
        <row r="14">
          <cell r="J14">
            <v>0.46</v>
          </cell>
        </row>
        <row r="15">
          <cell r="J15">
            <v>500</v>
          </cell>
        </row>
        <row r="20">
          <cell r="E20">
            <v>0.15</v>
          </cell>
        </row>
        <row r="21">
          <cell r="E21">
            <v>0.85</v>
          </cell>
          <cell r="J21">
            <v>0</v>
          </cell>
        </row>
        <row r="22">
          <cell r="J22">
            <v>0</v>
          </cell>
        </row>
        <row r="23">
          <cell r="J23">
            <v>0</v>
          </cell>
        </row>
        <row r="27">
          <cell r="E27">
            <v>0</v>
          </cell>
        </row>
        <row r="28">
          <cell r="E28">
            <v>0</v>
          </cell>
        </row>
        <row r="29">
          <cell r="E29">
            <v>0</v>
          </cell>
        </row>
        <row r="30">
          <cell r="J30">
            <v>0</v>
          </cell>
        </row>
      </sheetData>
      <sheetData sheetId="6" refreshError="1">
        <row r="11">
          <cell r="E11">
            <v>0</v>
          </cell>
        </row>
        <row r="12">
          <cell r="O12">
            <v>3.8</v>
          </cell>
          <cell r="P12">
            <v>0.2</v>
          </cell>
        </row>
        <row r="13">
          <cell r="J13">
            <v>1000</v>
          </cell>
          <cell r="O13">
            <v>220</v>
          </cell>
          <cell r="P13">
            <v>40</v>
          </cell>
        </row>
        <row r="14">
          <cell r="J14">
            <v>500</v>
          </cell>
        </row>
        <row r="18">
          <cell r="E18">
            <v>0.15</v>
          </cell>
        </row>
        <row r="19">
          <cell r="E19">
            <v>0.85</v>
          </cell>
        </row>
        <row r="22">
          <cell r="J22">
            <v>10</v>
          </cell>
        </row>
        <row r="25">
          <cell r="E25">
            <v>1150</v>
          </cell>
        </row>
        <row r="26">
          <cell r="E26">
            <v>700</v>
          </cell>
        </row>
        <row r="27">
          <cell r="E27">
            <v>1000</v>
          </cell>
        </row>
        <row r="28">
          <cell r="E28">
            <v>500</v>
          </cell>
          <cell r="J28">
            <v>600</v>
          </cell>
        </row>
        <row r="29">
          <cell r="E29">
            <v>0</v>
          </cell>
          <cell r="J29">
            <v>0</v>
          </cell>
        </row>
      </sheetData>
      <sheetData sheetId="7" refreshError="1">
        <row r="12">
          <cell r="O12">
            <v>3.8</v>
          </cell>
          <cell r="P12">
            <v>0.2</v>
          </cell>
        </row>
        <row r="13">
          <cell r="E13">
            <v>10</v>
          </cell>
          <cell r="O13">
            <v>220</v>
          </cell>
          <cell r="P13">
            <v>40</v>
          </cell>
        </row>
        <row r="14">
          <cell r="J14">
            <v>0.15</v>
          </cell>
        </row>
        <row r="15">
          <cell r="J15">
            <v>0.85</v>
          </cell>
        </row>
        <row r="19">
          <cell r="E19">
            <v>600</v>
          </cell>
        </row>
        <row r="20">
          <cell r="E20">
            <v>0</v>
          </cell>
        </row>
        <row r="21">
          <cell r="E21">
            <v>0</v>
          </cell>
          <cell r="J21">
            <v>1150</v>
          </cell>
        </row>
        <row r="22">
          <cell r="J22">
            <v>700</v>
          </cell>
        </row>
        <row r="23">
          <cell r="J23">
            <v>1000</v>
          </cell>
        </row>
        <row r="24">
          <cell r="J24">
            <v>1000</v>
          </cell>
        </row>
        <row r="25">
          <cell r="J25">
            <v>0</v>
          </cell>
        </row>
        <row r="31">
          <cell r="E31">
            <v>0</v>
          </cell>
          <cell r="J31">
            <v>0</v>
          </cell>
        </row>
      </sheetData>
      <sheetData sheetId="8" refreshError="1"/>
      <sheetData sheetId="9" refreshError="1"/>
      <sheetData sheetId="10" refreshError="1"/>
      <sheetData sheetId="11" refreshError="1"/>
      <sheetData sheetId="12" refreshError="1">
        <row r="53">
          <cell r="D53">
            <v>117</v>
          </cell>
        </row>
        <row r="54">
          <cell r="D54">
            <v>102</v>
          </cell>
        </row>
        <row r="55">
          <cell r="E55">
            <v>102</v>
          </cell>
        </row>
        <row r="56">
          <cell r="D56">
            <v>117</v>
          </cell>
          <cell r="E56">
            <v>15</v>
          </cell>
        </row>
        <row r="58">
          <cell r="D58">
            <v>335</v>
          </cell>
        </row>
        <row r="59">
          <cell r="D59">
            <v>3.284313725490196</v>
          </cell>
        </row>
        <row r="64">
          <cell r="D64">
            <v>2239171</v>
          </cell>
        </row>
        <row r="65">
          <cell r="D65">
            <v>99624</v>
          </cell>
        </row>
        <row r="66">
          <cell r="D66">
            <v>79887</v>
          </cell>
        </row>
        <row r="67">
          <cell r="D67">
            <v>179511</v>
          </cell>
        </row>
        <row r="72">
          <cell r="F72">
            <v>7.9505323235459526</v>
          </cell>
        </row>
        <row r="73">
          <cell r="F73">
            <v>0.66111111111111109</v>
          </cell>
        </row>
        <row r="74">
          <cell r="D74">
            <v>10.484955992587532</v>
          </cell>
          <cell r="F74">
            <v>8.6116434346570632</v>
          </cell>
        </row>
        <row r="96">
          <cell r="D96">
            <v>108.06451612903226</v>
          </cell>
        </row>
        <row r="111">
          <cell r="D111">
            <v>932192</v>
          </cell>
        </row>
        <row r="115">
          <cell r="D115">
            <v>28575</v>
          </cell>
        </row>
        <row r="122">
          <cell r="D122">
            <v>28713</v>
          </cell>
        </row>
        <row r="126">
          <cell r="D126">
            <v>33256</v>
          </cell>
        </row>
        <row r="127">
          <cell r="C127">
            <v>112425</v>
          </cell>
        </row>
        <row r="128">
          <cell r="C128">
            <v>129961</v>
          </cell>
        </row>
        <row r="129">
          <cell r="C129">
            <v>0</v>
          </cell>
        </row>
        <row r="139">
          <cell r="D139">
            <v>122382</v>
          </cell>
        </row>
        <row r="140">
          <cell r="D140">
            <v>1876</v>
          </cell>
        </row>
        <row r="141">
          <cell r="D141">
            <v>33840</v>
          </cell>
        </row>
        <row r="142">
          <cell r="D142">
            <v>38191</v>
          </cell>
        </row>
        <row r="144">
          <cell r="D144">
            <v>810252</v>
          </cell>
        </row>
        <row r="145">
          <cell r="D145">
            <v>219657</v>
          </cell>
        </row>
        <row r="147">
          <cell r="D147">
            <v>88067</v>
          </cell>
        </row>
        <row r="148">
          <cell r="D148">
            <v>34930</v>
          </cell>
        </row>
        <row r="154">
          <cell r="D154">
            <v>-50674</v>
          </cell>
        </row>
        <row r="167">
          <cell r="D167">
            <v>1081459</v>
          </cell>
        </row>
        <row r="174">
          <cell r="C174">
            <v>89154.2</v>
          </cell>
        </row>
        <row r="176">
          <cell r="D176">
            <v>703117.2</v>
          </cell>
        </row>
        <row r="185">
          <cell r="D185">
            <v>329708.87524999998</v>
          </cell>
        </row>
        <row r="186">
          <cell r="D186">
            <v>1032826.07525</v>
          </cell>
        </row>
        <row r="187">
          <cell r="D187">
            <v>48632.924750000006</v>
          </cell>
        </row>
        <row r="191">
          <cell r="D191">
            <v>993301.07524999999</v>
          </cell>
        </row>
        <row r="196">
          <cell r="D196">
            <v>-74364.075249999994</v>
          </cell>
        </row>
        <row r="206">
          <cell r="A206">
            <v>1725000</v>
          </cell>
        </row>
        <row r="207">
          <cell r="A207">
            <v>1725000</v>
          </cell>
        </row>
        <row r="208">
          <cell r="A208">
            <v>1725000</v>
          </cell>
        </row>
        <row r="209">
          <cell r="A209">
            <v>175000</v>
          </cell>
        </row>
        <row r="210">
          <cell r="A210">
            <v>0</v>
          </cell>
        </row>
        <row r="211">
          <cell r="A211">
            <v>87500</v>
          </cell>
        </row>
        <row r="216">
          <cell r="C216">
            <v>1.5845908427170357E-2</v>
          </cell>
        </row>
        <row r="225">
          <cell r="C225">
            <v>0.41949841602396448</v>
          </cell>
        </row>
        <row r="226">
          <cell r="C226">
            <v>-6.2740034554061838E-2</v>
          </cell>
        </row>
        <row r="227">
          <cell r="C227">
            <v>-113951.20000000019</v>
          </cell>
        </row>
      </sheetData>
      <sheetData sheetId="13" refreshError="1"/>
      <sheetData sheetId="14" refreshError="1"/>
      <sheetData sheetId="15" refreshError="1"/>
      <sheetData sheetId="16" refreshError="1">
        <row r="11">
          <cell r="F11">
            <v>0</v>
          </cell>
        </row>
        <row r="36">
          <cell r="F36">
            <v>150</v>
          </cell>
        </row>
      </sheetData>
      <sheetData sheetId="17" refreshError="1">
        <row r="33">
          <cell r="F33">
            <v>1500</v>
          </cell>
        </row>
      </sheetData>
      <sheetData sheetId="18" refreshError="1"/>
      <sheetData sheetId="19" refreshError="1">
        <row r="12">
          <cell r="M12">
            <v>0</v>
          </cell>
        </row>
        <row r="14">
          <cell r="M14">
            <v>0</v>
          </cell>
        </row>
        <row r="15">
          <cell r="M15">
            <v>0</v>
          </cell>
        </row>
        <row r="17">
          <cell r="M17">
            <v>0</v>
          </cell>
        </row>
        <row r="21">
          <cell r="E21">
            <v>0</v>
          </cell>
        </row>
        <row r="22">
          <cell r="E22">
            <v>0</v>
          </cell>
          <cell r="M22">
            <v>0</v>
          </cell>
        </row>
        <row r="24">
          <cell r="E24">
            <v>0</v>
          </cell>
        </row>
        <row r="25">
          <cell r="E25">
            <v>0</v>
          </cell>
        </row>
        <row r="30">
          <cell r="N30" t="e">
            <v>#DIV/0!</v>
          </cell>
        </row>
        <row r="38">
          <cell r="E38">
            <v>0</v>
          </cell>
          <cell r="N38" t="e">
            <v>#DIV/0!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D752E-4FA5-AB40-9BAA-47F126FFB894}">
  <dimension ref="A17:A99"/>
  <sheetViews>
    <sheetView tabSelected="1" workbookViewId="0">
      <selection activeCell="N21" sqref="N21"/>
    </sheetView>
  </sheetViews>
  <sheetFormatPr baseColWidth="10" defaultRowHeight="16"/>
  <cols>
    <col min="1" max="1" width="105.33203125" style="383" customWidth="1"/>
    <col min="2" max="16384" width="10.83203125" style="383"/>
  </cols>
  <sheetData>
    <row r="17" spans="1:1">
      <c r="A17" s="390"/>
    </row>
    <row r="18" spans="1:1">
      <c r="A18" s="390"/>
    </row>
    <row r="19" spans="1:1">
      <c r="A19" s="390"/>
    </row>
    <row r="20" spans="1:1">
      <c r="A20" s="390"/>
    </row>
    <row r="21" spans="1:1">
      <c r="A21" s="390"/>
    </row>
    <row r="22" spans="1:1">
      <c r="A22" s="390"/>
    </row>
    <row r="23" spans="1:1">
      <c r="A23" s="390"/>
    </row>
    <row r="24" spans="1:1">
      <c r="A24" s="390"/>
    </row>
    <row r="25" spans="1:1">
      <c r="A25" s="390"/>
    </row>
    <row r="26" spans="1:1">
      <c r="A26" s="390"/>
    </row>
    <row r="27" spans="1:1">
      <c r="A27" s="390"/>
    </row>
    <row r="28" spans="1:1">
      <c r="A28" s="390"/>
    </row>
    <row r="29" spans="1:1">
      <c r="A29" s="390"/>
    </row>
    <row r="30" spans="1:1">
      <c r="A30" s="390"/>
    </row>
    <row r="31" spans="1:1">
      <c r="A31" s="390"/>
    </row>
    <row r="32" spans="1:1">
      <c r="A32" s="390"/>
    </row>
    <row r="33" spans="1:1">
      <c r="A33" s="390"/>
    </row>
    <row r="34" spans="1:1">
      <c r="A34" s="390"/>
    </row>
    <row r="35" spans="1:1">
      <c r="A35" s="390"/>
    </row>
    <row r="36" spans="1:1">
      <c r="A36" s="390"/>
    </row>
    <row r="37" spans="1:1">
      <c r="A37" s="390"/>
    </row>
    <row r="38" spans="1:1">
      <c r="A38" s="390"/>
    </row>
    <row r="39" spans="1:1">
      <c r="A39" s="390"/>
    </row>
    <row r="40" spans="1:1">
      <c r="A40" s="390"/>
    </row>
    <row r="41" spans="1:1">
      <c r="A41" s="390"/>
    </row>
    <row r="42" spans="1:1">
      <c r="A42" s="390"/>
    </row>
    <row r="43" spans="1:1">
      <c r="A43" s="390"/>
    </row>
    <row r="44" spans="1:1">
      <c r="A44" s="390"/>
    </row>
    <row r="45" spans="1:1">
      <c r="A45" s="390"/>
    </row>
    <row r="46" spans="1:1">
      <c r="A46" s="390"/>
    </row>
    <row r="47" spans="1:1">
      <c r="A47" s="390"/>
    </row>
    <row r="48" spans="1:1">
      <c r="A48" s="390"/>
    </row>
    <row r="49" spans="1:1">
      <c r="A49" s="390"/>
    </row>
    <row r="50" spans="1:1">
      <c r="A50" s="390"/>
    </row>
    <row r="51" spans="1:1">
      <c r="A51" s="390"/>
    </row>
    <row r="52" spans="1:1">
      <c r="A52" s="390"/>
    </row>
    <row r="53" spans="1:1">
      <c r="A53" s="390"/>
    </row>
    <row r="54" spans="1:1">
      <c r="A54" s="390"/>
    </row>
    <row r="55" spans="1:1">
      <c r="A55" s="390"/>
    </row>
    <row r="56" spans="1:1">
      <c r="A56" s="390"/>
    </row>
    <row r="57" spans="1:1">
      <c r="A57" s="390"/>
    </row>
    <row r="58" spans="1:1">
      <c r="A58" s="390"/>
    </row>
    <row r="59" spans="1:1">
      <c r="A59" s="390"/>
    </row>
    <row r="60" spans="1:1">
      <c r="A60" s="390"/>
    </row>
    <row r="61" spans="1:1">
      <c r="A61" s="390"/>
    </row>
    <row r="62" spans="1:1">
      <c r="A62" s="390"/>
    </row>
    <row r="63" spans="1:1">
      <c r="A63" s="390"/>
    </row>
    <row r="64" spans="1:1">
      <c r="A64" s="390"/>
    </row>
    <row r="65" spans="1:1">
      <c r="A65" s="390"/>
    </row>
    <row r="66" spans="1:1">
      <c r="A66" s="390"/>
    </row>
    <row r="67" spans="1:1">
      <c r="A67" s="390"/>
    </row>
    <row r="68" spans="1:1">
      <c r="A68" s="390"/>
    </row>
    <row r="69" spans="1:1">
      <c r="A69" s="390"/>
    </row>
    <row r="70" spans="1:1">
      <c r="A70" s="390"/>
    </row>
    <row r="71" spans="1:1">
      <c r="A71" s="390"/>
    </row>
    <row r="72" spans="1:1">
      <c r="A72" s="390"/>
    </row>
    <row r="73" spans="1:1">
      <c r="A73" s="390"/>
    </row>
    <row r="74" spans="1:1">
      <c r="A74" s="390"/>
    </row>
    <row r="75" spans="1:1">
      <c r="A75" s="390"/>
    </row>
    <row r="76" spans="1:1">
      <c r="A76" s="390"/>
    </row>
    <row r="77" spans="1:1">
      <c r="A77" s="390"/>
    </row>
    <row r="78" spans="1:1">
      <c r="A78" s="390"/>
    </row>
    <row r="79" spans="1:1">
      <c r="A79" s="390"/>
    </row>
    <row r="80" spans="1:1">
      <c r="A80" s="390"/>
    </row>
    <row r="81" spans="1:1">
      <c r="A81" s="390"/>
    </row>
    <row r="82" spans="1:1">
      <c r="A82" s="390"/>
    </row>
    <row r="83" spans="1:1">
      <c r="A83" s="390"/>
    </row>
    <row r="84" spans="1:1">
      <c r="A84" s="390"/>
    </row>
    <row r="85" spans="1:1">
      <c r="A85" s="390"/>
    </row>
    <row r="86" spans="1:1">
      <c r="A86" s="390"/>
    </row>
    <row r="87" spans="1:1">
      <c r="A87" s="390"/>
    </row>
    <row r="88" spans="1:1">
      <c r="A88" s="390"/>
    </row>
    <row r="89" spans="1:1">
      <c r="A89" s="390"/>
    </row>
    <row r="90" spans="1:1">
      <c r="A90" s="390"/>
    </row>
    <row r="91" spans="1:1">
      <c r="A91" s="390"/>
    </row>
    <row r="92" spans="1:1">
      <c r="A92" s="390"/>
    </row>
    <row r="93" spans="1:1">
      <c r="A93" s="390"/>
    </row>
    <row r="94" spans="1:1">
      <c r="A94" s="390"/>
    </row>
    <row r="95" spans="1:1">
      <c r="A95" s="390"/>
    </row>
    <row r="96" spans="1:1">
      <c r="A96" s="390"/>
    </row>
    <row r="97" spans="1:1">
      <c r="A97" s="390"/>
    </row>
    <row r="98" spans="1:1">
      <c r="A98" s="390"/>
    </row>
    <row r="99" spans="1:1">
      <c r="A99" s="390"/>
    </row>
  </sheetData>
  <sheetProtection algorithmName="SHA-512" hashValue="rw234iIsv/kq8YQisvi8eju7JP/phpgLNZDK9OrphvmO1IBhlNGvmEsKPlxt3qKq6Lw5E9yD0/jNTaBjA8iIJQ==" saltValue="HYL5hA86EPl7Zik2grBXv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242"/>
  <sheetViews>
    <sheetView zoomScale="66" zoomScaleNormal="66" workbookViewId="0">
      <selection activeCell="L32" sqref="L32"/>
    </sheetView>
  </sheetViews>
  <sheetFormatPr baseColWidth="10" defaultColWidth="9.5" defaultRowHeight="16" outlineLevelRow="1"/>
  <cols>
    <col min="1" max="1" width="4.33203125" customWidth="1"/>
    <col min="2" max="2" width="49.5" bestFit="1" customWidth="1"/>
    <col min="3" max="3" width="25" bestFit="1" customWidth="1"/>
    <col min="4" max="4" width="17.1640625" customWidth="1"/>
    <col min="5" max="5" width="19.6640625" customWidth="1"/>
    <col min="6" max="6" width="15.83203125" customWidth="1"/>
    <col min="7" max="7" width="20.6640625" customWidth="1"/>
    <col min="8" max="9" width="15.83203125" customWidth="1"/>
    <col min="10" max="10" width="15.33203125" customWidth="1"/>
    <col min="11" max="12" width="10.83203125" bestFit="1" customWidth="1"/>
  </cols>
  <sheetData>
    <row r="1" spans="1:18" ht="75" customHeight="1">
      <c r="A1" s="87"/>
      <c r="B1" s="88"/>
      <c r="C1" s="89"/>
      <c r="D1" s="89"/>
      <c r="E1" s="89"/>
      <c r="F1" s="90"/>
      <c r="G1" s="90"/>
      <c r="H1" s="90"/>
      <c r="I1" s="90"/>
      <c r="J1" s="90"/>
    </row>
    <row r="3" spans="1:18" ht="28.5" customHeight="1">
      <c r="A3" s="91"/>
      <c r="B3" s="92"/>
      <c r="C3" s="93"/>
      <c r="D3" s="93"/>
      <c r="E3" s="94"/>
      <c r="F3" s="94"/>
      <c r="G3" s="94"/>
      <c r="H3" s="94"/>
      <c r="I3" s="94"/>
      <c r="J3" s="95"/>
    </row>
    <row r="4" spans="1:18" ht="21" customHeight="1" outlineLevel="1">
      <c r="A4" s="96"/>
      <c r="B4" s="97"/>
      <c r="C4" s="97"/>
      <c r="D4" s="97"/>
      <c r="E4" s="97"/>
      <c r="F4" s="97"/>
      <c r="G4" s="97"/>
      <c r="H4" s="98"/>
      <c r="I4" s="98"/>
      <c r="J4" s="98"/>
    </row>
    <row r="5" spans="1:18" ht="21" customHeight="1" outlineLevel="1">
      <c r="A5" s="96"/>
      <c r="B5" s="97"/>
      <c r="C5" s="435"/>
      <c r="D5" s="435"/>
      <c r="E5" s="435"/>
      <c r="F5" s="98"/>
      <c r="G5" s="98"/>
      <c r="H5" s="98"/>
      <c r="I5" s="98"/>
      <c r="J5" s="99"/>
    </row>
    <row r="6" spans="1:18" ht="48.75" customHeight="1" outlineLevel="1">
      <c r="A6" s="96"/>
      <c r="B6" s="100"/>
      <c r="C6" s="436"/>
      <c r="D6" s="436"/>
      <c r="E6" s="436"/>
      <c r="F6" s="436"/>
      <c r="G6" s="98"/>
      <c r="H6" s="98"/>
      <c r="I6" s="98"/>
      <c r="J6" s="98"/>
    </row>
    <row r="7" spans="1:18" ht="21" customHeight="1" outlineLevel="1">
      <c r="A7" s="96"/>
      <c r="B7" s="97"/>
      <c r="C7" s="391"/>
      <c r="D7" s="101"/>
      <c r="E7" s="98"/>
      <c r="F7" s="98"/>
      <c r="G7" s="98"/>
      <c r="H7" s="98"/>
      <c r="I7" s="98"/>
      <c r="J7" s="98"/>
    </row>
    <row r="8" spans="1:18" ht="21" customHeight="1" outlineLevel="1">
      <c r="A8" s="96"/>
      <c r="B8" s="97"/>
      <c r="C8" s="391"/>
      <c r="D8" s="101"/>
      <c r="E8" s="98"/>
      <c r="F8" s="98"/>
      <c r="G8" s="98"/>
      <c r="H8" s="98"/>
      <c r="I8" s="98"/>
      <c r="J8" s="98"/>
    </row>
    <row r="9" spans="1:18" ht="21" customHeight="1" outlineLevel="1">
      <c r="A9" s="96"/>
      <c r="B9" s="97"/>
      <c r="C9" s="391"/>
      <c r="D9" s="101"/>
      <c r="E9" s="98"/>
      <c r="F9" s="98"/>
      <c r="G9" s="98"/>
      <c r="H9" s="98"/>
      <c r="I9" s="98"/>
      <c r="J9" s="98"/>
    </row>
    <row r="10" spans="1:18" ht="21" customHeight="1" outlineLevel="1">
      <c r="A10" s="96"/>
      <c r="B10" s="97"/>
      <c r="C10" s="102"/>
      <c r="D10" s="101"/>
      <c r="E10" s="98"/>
      <c r="F10" s="98"/>
      <c r="G10" s="98"/>
      <c r="H10" s="98"/>
      <c r="I10" s="98"/>
      <c r="J10" s="98"/>
    </row>
    <row r="11" spans="1:18" ht="21" customHeight="1" outlineLevel="1">
      <c r="A11" s="96"/>
      <c r="B11" s="97"/>
      <c r="C11" s="391"/>
      <c r="D11" s="101"/>
      <c r="E11" s="98"/>
      <c r="F11" s="98"/>
      <c r="G11" s="98"/>
      <c r="H11" s="98"/>
      <c r="I11" s="98"/>
      <c r="J11" s="98"/>
    </row>
    <row r="12" spans="1:18" ht="21" customHeight="1" outlineLevel="1">
      <c r="A12" s="96"/>
      <c r="B12" s="97"/>
      <c r="C12" s="391"/>
      <c r="D12" s="101"/>
      <c r="E12" s="98"/>
      <c r="F12" s="98"/>
      <c r="G12" s="98"/>
      <c r="H12" s="98"/>
      <c r="I12" s="98"/>
      <c r="J12" s="98"/>
    </row>
    <row r="13" spans="1:18" ht="84" customHeight="1" outlineLevel="1">
      <c r="A13" s="96"/>
      <c r="B13" s="100"/>
      <c r="C13" s="436"/>
      <c r="D13" s="436"/>
      <c r="E13" s="436"/>
      <c r="F13" s="436"/>
      <c r="G13" s="98"/>
      <c r="H13" s="98"/>
      <c r="I13" s="98"/>
      <c r="J13" s="98"/>
    </row>
    <row r="14" spans="1:18" ht="21" customHeight="1" outlineLevel="1">
      <c r="A14" s="96"/>
      <c r="B14" s="97"/>
      <c r="C14" s="97"/>
      <c r="D14" s="97"/>
      <c r="E14" s="97"/>
      <c r="F14" s="97"/>
      <c r="G14" s="97"/>
      <c r="H14" s="98"/>
      <c r="I14" s="98"/>
      <c r="J14" s="98"/>
      <c r="K14" s="98"/>
      <c r="L14" s="98"/>
      <c r="M14" s="98"/>
      <c r="N14" s="98"/>
      <c r="O14" s="98"/>
      <c r="P14" s="98"/>
      <c r="Q14" s="98"/>
      <c r="R14" s="98"/>
    </row>
    <row r="15" spans="1:18" s="45" customFormat="1" ht="28.5" customHeight="1">
      <c r="A15" s="103"/>
      <c r="B15" s="104"/>
      <c r="C15" s="105"/>
      <c r="D15" s="106"/>
      <c r="E15" s="105"/>
      <c r="F15" s="107"/>
      <c r="G15" s="107"/>
      <c r="H15" s="107"/>
      <c r="I15" s="107"/>
      <c r="J15" s="108"/>
    </row>
    <row r="16" spans="1:18" ht="21" customHeight="1" outlineLevel="1">
      <c r="A16" s="109"/>
      <c r="B16" s="110"/>
      <c r="C16" s="111"/>
      <c r="D16" s="109"/>
      <c r="E16" s="109"/>
      <c r="F16" s="109"/>
      <c r="G16" s="109"/>
      <c r="H16" s="109"/>
      <c r="I16" s="109"/>
      <c r="J16" s="109"/>
      <c r="K16" s="98"/>
      <c r="L16" s="98"/>
      <c r="M16" s="98"/>
      <c r="N16" s="98"/>
      <c r="O16" s="98"/>
      <c r="P16" s="98"/>
      <c r="Q16" s="98"/>
      <c r="R16" s="98"/>
    </row>
    <row r="17" spans="1:18" ht="21" customHeight="1" outlineLevel="1">
      <c r="A17" s="109"/>
      <c r="B17" s="392"/>
      <c r="C17" s="392"/>
      <c r="D17" s="112"/>
      <c r="E17" s="109"/>
      <c r="F17" s="109"/>
      <c r="G17" s="109"/>
      <c r="H17" s="109"/>
      <c r="I17" s="109"/>
      <c r="J17" s="109"/>
      <c r="K17" s="98"/>
      <c r="L17" s="98"/>
      <c r="M17" s="98"/>
      <c r="N17" s="98"/>
      <c r="O17" s="98"/>
      <c r="P17" s="98"/>
      <c r="Q17" s="98"/>
      <c r="R17" s="98"/>
    </row>
    <row r="18" spans="1:18" ht="21" customHeight="1" outlineLevel="1">
      <c r="A18" s="109"/>
      <c r="B18" s="392"/>
      <c r="C18" s="392"/>
      <c r="D18" s="112"/>
      <c r="E18" s="109"/>
      <c r="F18" s="109"/>
      <c r="G18" s="109"/>
      <c r="H18" s="109"/>
      <c r="I18" s="109"/>
      <c r="J18" s="109"/>
      <c r="K18" s="98"/>
      <c r="L18" s="98"/>
      <c r="M18" s="98"/>
      <c r="N18" s="98"/>
      <c r="O18" s="98"/>
      <c r="P18" s="98"/>
      <c r="Q18" s="98"/>
      <c r="R18" s="98"/>
    </row>
    <row r="19" spans="1:18" ht="21" customHeight="1" outlineLevel="1">
      <c r="A19" s="109"/>
      <c r="B19" s="392"/>
      <c r="C19" s="392"/>
      <c r="D19" s="112"/>
      <c r="E19" s="109"/>
      <c r="F19" s="109"/>
      <c r="G19" s="109"/>
      <c r="H19" s="109"/>
      <c r="I19" s="109"/>
      <c r="J19" s="109"/>
      <c r="K19" s="98"/>
      <c r="L19" s="98"/>
      <c r="M19" s="98"/>
      <c r="N19" s="98"/>
      <c r="O19" s="98"/>
      <c r="P19" s="98"/>
      <c r="Q19" s="98"/>
      <c r="R19" s="98"/>
    </row>
    <row r="20" spans="1:18" ht="21" customHeight="1" outlineLevel="1">
      <c r="A20" s="109"/>
      <c r="B20" s="392"/>
      <c r="C20" s="392"/>
      <c r="D20" s="113"/>
      <c r="E20" s="109"/>
      <c r="F20" s="109"/>
      <c r="G20" s="109"/>
      <c r="H20" s="109"/>
      <c r="I20" s="109"/>
      <c r="J20" s="109"/>
      <c r="K20" s="98"/>
      <c r="L20" s="98"/>
      <c r="M20" s="98"/>
      <c r="N20" s="98"/>
      <c r="O20" s="98"/>
      <c r="P20" s="98"/>
      <c r="Q20" s="98"/>
      <c r="R20" s="98"/>
    </row>
    <row r="21" spans="1:18" ht="21" customHeight="1" outlineLevel="1">
      <c r="A21" s="109"/>
      <c r="B21" s="392"/>
      <c r="C21" s="392"/>
      <c r="D21" s="112"/>
      <c r="E21" s="109"/>
      <c r="F21" s="109"/>
      <c r="G21" s="109"/>
      <c r="H21" s="109"/>
      <c r="I21" s="109"/>
      <c r="J21" s="109"/>
      <c r="K21" s="98"/>
      <c r="L21" s="98"/>
      <c r="M21" s="98"/>
      <c r="N21" s="98"/>
      <c r="O21" s="98"/>
      <c r="P21" s="98"/>
      <c r="Q21" s="98"/>
      <c r="R21" s="98"/>
    </row>
    <row r="22" spans="1:18" ht="21" customHeight="1" outlineLevel="1">
      <c r="A22" s="109"/>
      <c r="B22" s="392"/>
      <c r="C22" s="392"/>
      <c r="D22" s="112"/>
      <c r="E22" s="109"/>
      <c r="F22" s="109"/>
      <c r="G22" s="109"/>
      <c r="H22" s="109"/>
      <c r="I22" s="109"/>
      <c r="J22" s="109"/>
      <c r="K22" s="98"/>
      <c r="L22" s="98"/>
      <c r="M22" s="98"/>
      <c r="N22" s="98"/>
      <c r="O22" s="98"/>
      <c r="P22" s="98"/>
      <c r="Q22" s="98"/>
      <c r="R22" s="98"/>
    </row>
    <row r="23" spans="1:18" ht="21" customHeight="1" outlineLevel="1">
      <c r="A23" s="109"/>
      <c r="B23" s="392"/>
      <c r="C23" s="392"/>
      <c r="D23" s="114"/>
      <c r="E23" s="109"/>
      <c r="F23" s="109"/>
      <c r="G23" s="109"/>
      <c r="H23" s="109"/>
      <c r="I23" s="109"/>
      <c r="J23" s="109"/>
      <c r="K23" s="98"/>
      <c r="L23" s="98"/>
      <c r="M23" s="98"/>
      <c r="N23" s="98"/>
      <c r="O23" s="98"/>
      <c r="P23" s="98"/>
      <c r="Q23" s="98"/>
      <c r="R23" s="98"/>
    </row>
    <row r="24" spans="1:18" ht="21" customHeight="1" outlineLevel="1">
      <c r="A24" s="109"/>
      <c r="B24" s="392"/>
      <c r="C24" s="392"/>
      <c r="D24" s="114"/>
      <c r="E24" s="109"/>
      <c r="F24" s="109"/>
      <c r="G24" s="109"/>
      <c r="H24" s="109"/>
      <c r="I24" s="109"/>
      <c r="J24" s="109"/>
      <c r="K24" s="98"/>
      <c r="L24" s="98"/>
      <c r="M24" s="98"/>
      <c r="N24" s="98"/>
      <c r="O24" s="98"/>
      <c r="P24" s="98"/>
      <c r="Q24" s="98"/>
      <c r="R24" s="98"/>
    </row>
    <row r="25" spans="1:18" ht="21" customHeight="1" outlineLevel="1">
      <c r="A25" s="109"/>
      <c r="B25" s="392"/>
      <c r="C25" s="392"/>
      <c r="D25" s="115"/>
      <c r="E25" s="109"/>
      <c r="F25" s="109"/>
      <c r="G25" s="109"/>
      <c r="H25" s="109"/>
      <c r="I25" s="109"/>
      <c r="J25" s="109"/>
      <c r="K25" s="98"/>
      <c r="L25" s="98"/>
      <c r="M25" s="98"/>
      <c r="N25" s="98"/>
      <c r="O25" s="98"/>
      <c r="P25" s="98"/>
      <c r="Q25" s="98"/>
      <c r="R25" s="98"/>
    </row>
    <row r="26" spans="1:18" ht="21" customHeight="1" outlineLevel="1">
      <c r="A26" s="109"/>
      <c r="B26" s="392"/>
      <c r="C26" s="392"/>
      <c r="D26" s="116"/>
      <c r="E26" s="109"/>
      <c r="F26" s="109"/>
      <c r="G26" s="109"/>
      <c r="H26" s="109"/>
      <c r="I26" s="109"/>
      <c r="J26" s="109"/>
      <c r="K26" s="98"/>
      <c r="L26" s="98"/>
      <c r="M26" s="98"/>
      <c r="N26" s="98"/>
      <c r="O26" s="98"/>
      <c r="P26" s="98"/>
      <c r="Q26" s="98"/>
      <c r="R26" s="98"/>
    </row>
    <row r="27" spans="1:18" ht="14" customHeight="1" outlineLevel="1">
      <c r="A27" s="109"/>
      <c r="B27" s="392"/>
      <c r="C27" s="392"/>
      <c r="D27" s="117"/>
      <c r="E27" s="117"/>
      <c r="F27" s="117"/>
      <c r="G27" s="117"/>
      <c r="H27" s="117"/>
      <c r="I27" s="117"/>
      <c r="J27" s="117"/>
      <c r="K27" s="98"/>
      <c r="L27" s="98"/>
      <c r="M27" s="98"/>
      <c r="N27" s="98"/>
      <c r="O27" s="98"/>
      <c r="P27" s="98"/>
      <c r="Q27" s="98"/>
      <c r="R27" s="98"/>
    </row>
    <row r="28" spans="1:18" ht="21" customHeight="1" outlineLevel="1">
      <c r="A28" s="109"/>
      <c r="B28" s="392"/>
      <c r="C28" s="392"/>
      <c r="D28" s="118"/>
      <c r="E28" s="119"/>
      <c r="F28" s="120"/>
      <c r="G28" s="121"/>
      <c r="H28" s="121"/>
      <c r="I28" s="121"/>
      <c r="J28" s="121"/>
      <c r="K28" s="98"/>
      <c r="L28" s="98"/>
      <c r="M28" s="98"/>
      <c r="N28" s="98"/>
      <c r="O28" s="98"/>
      <c r="P28" s="98"/>
      <c r="Q28" s="98"/>
      <c r="R28" s="98"/>
    </row>
    <row r="29" spans="1:18" ht="21" customHeight="1" outlineLevel="1">
      <c r="A29" s="109"/>
      <c r="B29" s="110"/>
      <c r="C29" s="392"/>
      <c r="D29" s="122"/>
      <c r="E29" s="119"/>
      <c r="F29" s="120"/>
      <c r="G29" s="121"/>
      <c r="H29" s="121"/>
      <c r="I29" s="121"/>
      <c r="J29" s="121"/>
      <c r="K29" s="98"/>
      <c r="L29" s="98"/>
      <c r="M29" s="98"/>
      <c r="N29" s="98"/>
      <c r="O29" s="98"/>
      <c r="P29" s="98"/>
      <c r="Q29" s="98"/>
      <c r="R29" s="98"/>
    </row>
    <row r="30" spans="1:18" ht="21" customHeight="1" outlineLevel="1">
      <c r="A30" s="109"/>
      <c r="B30" s="392"/>
      <c r="C30" s="392"/>
      <c r="D30" s="123"/>
      <c r="E30" s="124"/>
      <c r="F30" s="125"/>
      <c r="G30" s="126"/>
      <c r="H30" s="127"/>
      <c r="I30" s="127"/>
      <c r="J30" s="128"/>
      <c r="K30" s="98"/>
      <c r="L30" s="98"/>
      <c r="M30" s="98"/>
      <c r="N30" s="98"/>
      <c r="O30" s="98"/>
      <c r="P30" s="98"/>
      <c r="Q30" s="98"/>
      <c r="R30" s="98"/>
    </row>
    <row r="31" spans="1:18" ht="21" customHeight="1" outlineLevel="1">
      <c r="A31" s="109"/>
      <c r="B31" s="392"/>
      <c r="C31" s="392"/>
      <c r="D31" s="123"/>
      <c r="E31" s="124"/>
      <c r="F31" s="125"/>
      <c r="G31" s="126"/>
      <c r="H31" s="127"/>
      <c r="I31" s="127"/>
      <c r="J31" s="128"/>
      <c r="K31" s="98"/>
      <c r="L31" s="98"/>
      <c r="M31" s="98"/>
      <c r="N31" s="98"/>
      <c r="O31" s="98"/>
      <c r="P31" s="98"/>
      <c r="Q31" s="98"/>
      <c r="R31" s="98"/>
    </row>
    <row r="32" spans="1:18" ht="21" customHeight="1" outlineLevel="1">
      <c r="A32" s="109"/>
      <c r="B32" s="392"/>
      <c r="C32" s="392"/>
      <c r="D32" s="123"/>
      <c r="E32" s="124"/>
      <c r="F32" s="125"/>
      <c r="G32" s="126"/>
      <c r="H32" s="127"/>
      <c r="I32" s="127"/>
      <c r="J32" s="128"/>
      <c r="K32" s="98"/>
      <c r="L32" s="98"/>
      <c r="M32" s="98"/>
      <c r="N32" s="98"/>
      <c r="O32" s="98"/>
      <c r="P32" s="98"/>
      <c r="Q32" s="98"/>
      <c r="R32" s="98"/>
    </row>
    <row r="33" spans="1:18" ht="21" customHeight="1" outlineLevel="1">
      <c r="A33" s="109"/>
      <c r="B33" s="392"/>
      <c r="C33" s="392"/>
      <c r="D33" s="123"/>
      <c r="E33" s="124"/>
      <c r="F33" s="125"/>
      <c r="G33" s="126"/>
      <c r="H33" s="127"/>
      <c r="I33" s="127"/>
      <c r="J33" s="128"/>
      <c r="K33" s="98"/>
      <c r="L33" s="98"/>
      <c r="M33" s="98"/>
      <c r="N33" s="98"/>
      <c r="O33" s="98"/>
      <c r="P33" s="98"/>
      <c r="Q33" s="98"/>
      <c r="R33" s="98"/>
    </row>
    <row r="34" spans="1:18" ht="21" customHeight="1" outlineLevel="1">
      <c r="A34" s="109"/>
      <c r="B34" s="392"/>
      <c r="C34" s="392"/>
      <c r="D34" s="123"/>
      <c r="E34" s="124"/>
      <c r="F34" s="125"/>
      <c r="G34" s="126"/>
      <c r="H34" s="127"/>
      <c r="I34" s="127"/>
      <c r="J34" s="128"/>
      <c r="K34" s="98"/>
      <c r="L34" s="98"/>
      <c r="M34" s="98"/>
      <c r="N34" s="98"/>
      <c r="O34" s="98"/>
      <c r="P34" s="98"/>
      <c r="Q34" s="98"/>
      <c r="R34" s="98"/>
    </row>
    <row r="35" spans="1:18" ht="21" customHeight="1" outlineLevel="1">
      <c r="A35" s="109"/>
      <c r="B35" s="392"/>
      <c r="C35" s="392"/>
      <c r="D35" s="123"/>
      <c r="E35" s="124"/>
      <c r="F35" s="125"/>
      <c r="G35" s="126"/>
      <c r="H35" s="127"/>
      <c r="I35" s="127"/>
      <c r="J35" s="128"/>
      <c r="K35" s="98"/>
      <c r="L35" s="98"/>
      <c r="M35" s="98"/>
      <c r="N35" s="98"/>
      <c r="O35" s="98"/>
      <c r="P35" s="98"/>
      <c r="Q35" s="98"/>
      <c r="R35" s="98"/>
    </row>
    <row r="36" spans="1:18" ht="21" customHeight="1" outlineLevel="1">
      <c r="A36" s="109"/>
      <c r="B36" s="110"/>
      <c r="C36" s="392"/>
      <c r="D36" s="123"/>
      <c r="E36" s="129"/>
      <c r="F36" s="129"/>
      <c r="G36" s="130"/>
      <c r="H36" s="129"/>
      <c r="I36" s="129"/>
      <c r="J36" s="129"/>
      <c r="K36" s="98"/>
      <c r="L36" s="98"/>
      <c r="M36" s="98"/>
      <c r="N36" s="98"/>
      <c r="O36" s="98"/>
      <c r="P36" s="98"/>
      <c r="Q36" s="98"/>
      <c r="R36" s="98"/>
    </row>
    <row r="37" spans="1:18" ht="21" customHeight="1" outlineLevel="1">
      <c r="A37" s="109"/>
      <c r="B37" s="392"/>
      <c r="C37" s="392"/>
      <c r="D37" s="123"/>
      <c r="E37" s="124"/>
      <c r="F37" s="125"/>
      <c r="G37" s="126"/>
      <c r="H37" s="127"/>
      <c r="I37" s="127"/>
      <c r="J37" s="128"/>
      <c r="K37" s="98"/>
      <c r="L37" s="98"/>
      <c r="M37" s="98"/>
      <c r="N37" s="98"/>
      <c r="O37" s="98"/>
      <c r="P37" s="98"/>
      <c r="Q37" s="98"/>
      <c r="R37" s="98"/>
    </row>
    <row r="38" spans="1:18" ht="21" customHeight="1" outlineLevel="1">
      <c r="A38" s="109"/>
      <c r="B38" s="392"/>
      <c r="C38" s="392"/>
      <c r="D38" s="123"/>
      <c r="E38" s="124"/>
      <c r="F38" s="125"/>
      <c r="G38" s="126"/>
      <c r="H38" s="127"/>
      <c r="I38" s="127"/>
      <c r="J38" s="128"/>
      <c r="K38" s="98"/>
      <c r="L38" s="98"/>
      <c r="M38" s="98"/>
      <c r="N38" s="98"/>
      <c r="O38" s="98"/>
      <c r="P38" s="98"/>
      <c r="Q38" s="98"/>
      <c r="R38" s="98"/>
    </row>
    <row r="39" spans="1:18" ht="21" customHeight="1" outlineLevel="1">
      <c r="A39" s="109"/>
      <c r="B39" s="392"/>
      <c r="C39" s="392"/>
      <c r="D39" s="123"/>
      <c r="E39" s="124"/>
      <c r="F39" s="125"/>
      <c r="G39" s="126"/>
      <c r="H39" s="127"/>
      <c r="I39" s="127"/>
      <c r="J39" s="128"/>
      <c r="K39" s="98"/>
      <c r="L39" s="98"/>
      <c r="M39" s="98"/>
      <c r="N39" s="98"/>
      <c r="O39" s="98"/>
      <c r="P39" s="98"/>
      <c r="Q39" s="98"/>
      <c r="R39" s="98"/>
    </row>
    <row r="40" spans="1:18" ht="21" customHeight="1" outlineLevel="1">
      <c r="A40" s="109"/>
      <c r="B40" s="392"/>
      <c r="C40" s="392"/>
      <c r="D40" s="123"/>
      <c r="E40" s="124"/>
      <c r="F40" s="125"/>
      <c r="G40" s="126"/>
      <c r="H40" s="127"/>
      <c r="I40" s="127"/>
      <c r="J40" s="128"/>
      <c r="K40" s="98"/>
      <c r="L40" s="98"/>
      <c r="M40" s="98"/>
      <c r="N40" s="98"/>
      <c r="O40" s="98"/>
      <c r="P40" s="98"/>
      <c r="Q40" s="98"/>
      <c r="R40" s="98"/>
    </row>
    <row r="41" spans="1:18" ht="21" customHeight="1" outlineLevel="1">
      <c r="A41" s="109"/>
      <c r="B41" s="392"/>
      <c r="C41" s="392"/>
      <c r="D41" s="123"/>
      <c r="E41" s="124"/>
      <c r="F41" s="125"/>
      <c r="G41" s="126"/>
      <c r="H41" s="127"/>
      <c r="I41" s="127"/>
      <c r="J41" s="128"/>
      <c r="K41" s="98"/>
      <c r="L41" s="98"/>
      <c r="M41" s="98"/>
      <c r="N41" s="98"/>
      <c r="O41" s="98"/>
      <c r="P41" s="98"/>
      <c r="Q41" s="98"/>
      <c r="R41" s="98"/>
    </row>
    <row r="42" spans="1:18" ht="21" customHeight="1" outlineLevel="1">
      <c r="A42" s="109"/>
      <c r="B42" s="392"/>
      <c r="C42" s="392"/>
      <c r="D42" s="123"/>
      <c r="E42" s="124"/>
      <c r="F42" s="125"/>
      <c r="G42" s="126"/>
      <c r="H42" s="127"/>
      <c r="I42" s="127"/>
      <c r="J42" s="128"/>
      <c r="K42" s="98"/>
      <c r="L42" s="98"/>
      <c r="M42" s="98"/>
      <c r="N42" s="98"/>
      <c r="O42" s="98"/>
      <c r="P42" s="98"/>
      <c r="Q42" s="98"/>
      <c r="R42" s="98"/>
    </row>
    <row r="43" spans="1:18" ht="21" customHeight="1" outlineLevel="1">
      <c r="A43" s="109"/>
      <c r="B43" s="392"/>
      <c r="C43" s="392"/>
      <c r="D43" s="123"/>
      <c r="E43" s="124"/>
      <c r="F43" s="125"/>
      <c r="G43" s="126"/>
      <c r="H43" s="127"/>
      <c r="I43" s="127"/>
      <c r="J43" s="128"/>
      <c r="K43" s="98"/>
      <c r="L43" s="98"/>
      <c r="M43" s="98"/>
      <c r="N43" s="98"/>
      <c r="O43" s="98"/>
      <c r="P43" s="98"/>
      <c r="Q43" s="98"/>
      <c r="R43" s="98"/>
    </row>
    <row r="44" spans="1:18" ht="21" customHeight="1" outlineLevel="1">
      <c r="A44" s="109"/>
      <c r="B44" s="392"/>
      <c r="C44" s="392"/>
      <c r="D44" s="123"/>
      <c r="E44" s="124"/>
      <c r="F44" s="125"/>
      <c r="G44" s="126"/>
      <c r="H44" s="127"/>
      <c r="I44" s="127"/>
      <c r="J44" s="128"/>
      <c r="K44" s="98"/>
      <c r="L44" s="98"/>
      <c r="M44" s="98"/>
      <c r="N44" s="98"/>
      <c r="O44" s="98"/>
      <c r="P44" s="98"/>
      <c r="Q44" s="98"/>
      <c r="R44" s="98"/>
    </row>
    <row r="45" spans="1:18" ht="21" customHeight="1" outlineLevel="1">
      <c r="A45" s="109"/>
      <c r="B45" s="110"/>
      <c r="C45" s="392"/>
      <c r="D45" s="117"/>
      <c r="E45" s="117"/>
      <c r="F45" s="117"/>
      <c r="G45" s="131"/>
      <c r="H45" s="117"/>
      <c r="I45" s="117"/>
      <c r="J45" s="117"/>
      <c r="K45" s="98"/>
      <c r="L45" s="98"/>
      <c r="M45" s="98"/>
      <c r="N45" s="98"/>
      <c r="O45" s="98"/>
      <c r="P45" s="98"/>
      <c r="Q45" s="98"/>
      <c r="R45" s="98"/>
    </row>
    <row r="46" spans="1:18" ht="21" customHeight="1" outlineLevel="1">
      <c r="A46" s="109"/>
      <c r="B46" s="392"/>
      <c r="C46" s="392"/>
      <c r="D46" s="132"/>
      <c r="E46" s="133"/>
      <c r="F46" s="133"/>
      <c r="G46" s="134"/>
      <c r="H46" s="133"/>
      <c r="I46" s="133"/>
      <c r="J46" s="133"/>
      <c r="K46" s="98"/>
      <c r="L46" s="98"/>
      <c r="M46" s="98"/>
      <c r="N46" s="98"/>
      <c r="O46" s="98"/>
      <c r="P46" s="98"/>
      <c r="Q46" s="98"/>
      <c r="R46" s="98"/>
    </row>
    <row r="47" spans="1:18" ht="21" customHeight="1" outlineLevel="1">
      <c r="A47" s="109"/>
      <c r="B47" s="392"/>
      <c r="C47" s="392"/>
      <c r="D47" s="132"/>
      <c r="E47" s="133"/>
      <c r="F47" s="133"/>
      <c r="G47" s="134"/>
      <c r="H47" s="133"/>
      <c r="I47" s="133"/>
      <c r="J47" s="133"/>
      <c r="K47" s="98"/>
      <c r="L47" s="98"/>
      <c r="M47" s="98"/>
      <c r="N47" s="98"/>
      <c r="O47" s="98"/>
      <c r="P47" s="98"/>
      <c r="Q47" s="98"/>
      <c r="R47" s="98"/>
    </row>
    <row r="48" spans="1:18" ht="21" customHeight="1" outlineLevel="1">
      <c r="A48" s="109"/>
      <c r="B48" s="392"/>
      <c r="C48" s="392"/>
      <c r="D48" s="132"/>
      <c r="E48" s="133"/>
      <c r="F48" s="133"/>
      <c r="G48" s="134"/>
      <c r="H48" s="133"/>
      <c r="I48" s="133"/>
      <c r="J48" s="133"/>
      <c r="K48" s="98"/>
      <c r="L48" s="98"/>
      <c r="M48" s="98"/>
      <c r="N48" s="98"/>
      <c r="O48" s="98"/>
      <c r="P48" s="98"/>
      <c r="Q48" s="98"/>
      <c r="R48" s="98"/>
    </row>
    <row r="49" spans="1:18" ht="21" customHeight="1" outlineLevel="1">
      <c r="A49" s="109"/>
      <c r="B49" s="392"/>
      <c r="C49" s="392"/>
      <c r="D49" s="123"/>
      <c r="E49" s="124"/>
      <c r="F49" s="125"/>
      <c r="G49" s="126"/>
      <c r="H49" s="127"/>
      <c r="I49" s="127"/>
      <c r="J49" s="128"/>
      <c r="K49" s="98"/>
      <c r="L49" s="98"/>
      <c r="M49" s="98"/>
      <c r="N49" s="98"/>
      <c r="O49" s="98"/>
      <c r="P49" s="98"/>
      <c r="Q49" s="98"/>
      <c r="R49" s="98"/>
    </row>
    <row r="50" spans="1:18" ht="21" customHeight="1" outlineLevel="1">
      <c r="A50" s="135"/>
      <c r="B50" s="111"/>
      <c r="C50" s="111"/>
      <c r="D50" s="136"/>
      <c r="E50" s="136"/>
      <c r="F50" s="136"/>
      <c r="G50" s="136"/>
      <c r="H50" s="136"/>
      <c r="I50" s="136"/>
      <c r="J50" s="136"/>
      <c r="K50" s="98"/>
      <c r="L50" s="98"/>
      <c r="M50" s="98"/>
      <c r="N50" s="98"/>
      <c r="O50" s="98"/>
      <c r="P50" s="98"/>
      <c r="Q50" s="98"/>
      <c r="R50" s="98"/>
    </row>
    <row r="51" spans="1:18" s="45" customFormat="1" ht="28.5" customHeight="1">
      <c r="A51" s="137"/>
      <c r="B51" s="138"/>
      <c r="C51" s="139"/>
      <c r="D51" s="140"/>
      <c r="E51" s="139"/>
      <c r="F51" s="141"/>
      <c r="G51" s="141"/>
      <c r="H51" s="141"/>
      <c r="I51" s="141"/>
      <c r="J51" s="142"/>
    </row>
    <row r="52" spans="1:18" s="109" customFormat="1" ht="22.5" customHeight="1" outlineLevel="1">
      <c r="B52" s="143"/>
      <c r="C52" s="111"/>
      <c r="D52" s="144"/>
      <c r="E52" s="145"/>
    </row>
    <row r="53" spans="1:18" s="109" customFormat="1" ht="15" outlineLevel="1">
      <c r="B53" s="392"/>
      <c r="C53" s="392"/>
      <c r="D53" s="146"/>
    </row>
    <row r="54" spans="1:18" s="109" customFormat="1" ht="15" outlineLevel="1">
      <c r="B54" s="392"/>
      <c r="C54" s="392"/>
      <c r="D54" s="146"/>
    </row>
    <row r="55" spans="1:18" s="109" customFormat="1" ht="15" outlineLevel="1">
      <c r="B55" s="392"/>
      <c r="C55" s="392"/>
      <c r="D55" s="146"/>
      <c r="E55" s="147"/>
    </row>
    <row r="56" spans="1:18" s="109" customFormat="1" ht="15" outlineLevel="1">
      <c r="B56" s="392"/>
      <c r="C56" s="392"/>
      <c r="D56" s="146"/>
      <c r="E56" s="147"/>
    </row>
    <row r="57" spans="1:18" s="109" customFormat="1" ht="22.5" customHeight="1" outlineLevel="1">
      <c r="B57" s="143"/>
      <c r="C57" s="111"/>
      <c r="D57" s="144"/>
      <c r="E57" s="145"/>
    </row>
    <row r="58" spans="1:18" s="109" customFormat="1" ht="15" outlineLevel="1">
      <c r="B58" s="392"/>
      <c r="C58" s="392"/>
      <c r="D58" s="112"/>
      <c r="E58" s="112"/>
    </row>
    <row r="59" spans="1:18" s="109" customFormat="1" ht="15" outlineLevel="1">
      <c r="B59" s="392"/>
      <c r="C59" s="392"/>
      <c r="D59" s="148"/>
      <c r="E59" s="149"/>
    </row>
    <row r="60" spans="1:18" s="109" customFormat="1" ht="15" outlineLevel="1">
      <c r="B60" s="392"/>
      <c r="C60" s="392"/>
      <c r="D60" s="150"/>
      <c r="E60" s="149"/>
    </row>
    <row r="61" spans="1:18" s="109" customFormat="1" ht="15" outlineLevel="1">
      <c r="B61" s="392"/>
      <c r="C61" s="392"/>
      <c r="D61" s="151"/>
      <c r="E61" s="151"/>
    </row>
    <row r="62" spans="1:18" s="109" customFormat="1" ht="15" outlineLevel="1">
      <c r="B62" s="392"/>
      <c r="C62" s="392"/>
      <c r="D62" s="112"/>
      <c r="E62" s="437"/>
      <c r="F62" s="437"/>
      <c r="G62" s="437"/>
    </row>
    <row r="63" spans="1:18" s="109" customFormat="1" ht="22.5" customHeight="1" outlineLevel="1">
      <c r="B63" s="143"/>
      <c r="C63" s="111"/>
      <c r="D63" s="122"/>
      <c r="E63" s="144"/>
      <c r="F63" s="152"/>
      <c r="G63" s="152"/>
    </row>
    <row r="64" spans="1:18" s="109" customFormat="1" ht="15" outlineLevel="1">
      <c r="B64" s="392"/>
      <c r="C64" s="392"/>
      <c r="D64" s="112"/>
      <c r="E64" s="112"/>
      <c r="F64" s="112"/>
      <c r="G64" s="112"/>
    </row>
    <row r="65" spans="2:13" s="109" customFormat="1" ht="15" outlineLevel="1">
      <c r="B65" s="392"/>
      <c r="C65" s="392"/>
      <c r="D65" s="112"/>
      <c r="E65" s="112"/>
      <c r="F65" s="112"/>
      <c r="G65" s="112"/>
      <c r="H65" s="146"/>
    </row>
    <row r="66" spans="2:13" s="109" customFormat="1" ht="15" outlineLevel="1">
      <c r="B66" s="392"/>
      <c r="C66" s="392"/>
      <c r="D66" s="112"/>
      <c r="E66" s="112"/>
      <c r="F66" s="112"/>
      <c r="G66" s="112"/>
      <c r="H66" s="146"/>
    </row>
    <row r="67" spans="2:13" s="109" customFormat="1" ht="15" outlineLevel="1">
      <c r="B67" s="392"/>
      <c r="C67" s="392"/>
      <c r="D67" s="112"/>
      <c r="E67" s="112"/>
      <c r="F67" s="112"/>
      <c r="G67" s="112"/>
      <c r="I67" s="351"/>
    </row>
    <row r="68" spans="2:13" s="109" customFormat="1" ht="15" outlineLevel="1">
      <c r="B68" s="392"/>
      <c r="C68" s="392"/>
      <c r="D68" s="153"/>
    </row>
    <row r="69" spans="2:13" s="109" customFormat="1" ht="15" outlineLevel="1">
      <c r="B69" s="392"/>
      <c r="C69" s="392"/>
      <c r="D69" s="153"/>
    </row>
    <row r="70" spans="2:13" s="109" customFormat="1" ht="15" outlineLevel="1">
      <c r="B70" s="392"/>
      <c r="C70" s="392"/>
      <c r="D70" s="115"/>
    </row>
    <row r="71" spans="2:13" s="109" customFormat="1" ht="22.5" customHeight="1" outlineLevel="1">
      <c r="B71" s="143"/>
      <c r="C71" s="111"/>
      <c r="D71" s="144"/>
      <c r="E71" s="154"/>
      <c r="F71" s="152"/>
      <c r="G71" s="152"/>
    </row>
    <row r="72" spans="2:13" s="109" customFormat="1" ht="15" outlineLevel="1">
      <c r="B72" s="392"/>
      <c r="C72" s="392"/>
      <c r="D72" s="113"/>
      <c r="E72" s="113"/>
      <c r="F72" s="113"/>
      <c r="G72" s="112"/>
    </row>
    <row r="73" spans="2:13" s="109" customFormat="1" ht="15" outlineLevel="1">
      <c r="B73" s="392"/>
      <c r="C73" s="392"/>
      <c r="D73" s="113"/>
      <c r="E73" s="113"/>
      <c r="F73" s="113"/>
      <c r="G73" s="112"/>
    </row>
    <row r="74" spans="2:13" s="109" customFormat="1" ht="15" outlineLevel="1">
      <c r="B74" s="111"/>
      <c r="C74" s="392"/>
      <c r="D74" s="113"/>
      <c r="E74" s="113"/>
      <c r="F74" s="113"/>
      <c r="G74" s="112"/>
    </row>
    <row r="75" spans="2:13" s="109" customFormat="1" ht="22.5" customHeight="1" outlineLevel="1">
      <c r="B75" s="143"/>
      <c r="C75" s="111"/>
      <c r="D75" s="144"/>
      <c r="E75" s="155"/>
      <c r="F75" s="155"/>
      <c r="G75" s="156"/>
      <c r="H75" s="157"/>
    </row>
    <row r="76" spans="2:13" s="109" customFormat="1" ht="15" outlineLevel="1">
      <c r="B76" s="392"/>
      <c r="C76" s="392"/>
      <c r="D76" s="112"/>
      <c r="E76" s="113"/>
      <c r="F76" s="113"/>
      <c r="G76" s="113"/>
      <c r="H76" s="158"/>
      <c r="I76" s="392"/>
    </row>
    <row r="77" spans="2:13" s="109" customFormat="1" ht="15" outlineLevel="1">
      <c r="B77" s="392"/>
      <c r="C77" s="392"/>
      <c r="D77" s="112"/>
      <c r="E77" s="113"/>
      <c r="F77" s="113"/>
      <c r="G77" s="113"/>
      <c r="H77" s="158"/>
      <c r="I77" s="159"/>
      <c r="J77" s="160"/>
      <c r="K77" s="160"/>
      <c r="L77" s="160"/>
      <c r="M77" s="161"/>
    </row>
    <row r="78" spans="2:13" s="109" customFormat="1" ht="15" outlineLevel="1">
      <c r="B78" s="392"/>
      <c r="C78" s="392"/>
      <c r="D78" s="112"/>
      <c r="E78" s="113"/>
      <c r="F78" s="113"/>
      <c r="G78" s="113"/>
      <c r="H78" s="158"/>
      <c r="I78" s="159"/>
      <c r="J78" s="160"/>
      <c r="K78" s="160"/>
      <c r="L78" s="160"/>
      <c r="M78" s="161"/>
    </row>
    <row r="79" spans="2:13" s="109" customFormat="1" ht="15" outlineLevel="1">
      <c r="B79" s="392"/>
      <c r="C79" s="392"/>
      <c r="D79" s="112"/>
      <c r="E79" s="113"/>
      <c r="F79" s="113"/>
      <c r="G79" s="113"/>
      <c r="H79" s="158"/>
      <c r="I79" s="392"/>
    </row>
    <row r="80" spans="2:13" s="109" customFormat="1" ht="15" outlineLevel="1">
      <c r="B80" s="392"/>
      <c r="C80" s="392"/>
      <c r="D80" s="112"/>
      <c r="E80" s="113"/>
      <c r="F80" s="113"/>
      <c r="G80" s="113"/>
      <c r="H80" s="158"/>
      <c r="I80" s="392"/>
    </row>
    <row r="81" spans="2:11" s="109" customFormat="1" ht="15" outlineLevel="1">
      <c r="B81" s="392"/>
      <c r="C81" s="392"/>
      <c r="D81" s="162"/>
      <c r="E81" s="163"/>
      <c r="F81" s="163"/>
      <c r="G81" s="163"/>
      <c r="H81" s="164"/>
    </row>
    <row r="82" spans="2:11" s="109" customFormat="1" ht="15" outlineLevel="1">
      <c r="B82" s="392"/>
      <c r="C82" s="392"/>
      <c r="D82" s="112"/>
      <c r="E82" s="113"/>
      <c r="F82" s="113"/>
      <c r="G82" s="113"/>
      <c r="H82" s="158"/>
    </row>
    <row r="83" spans="2:11" s="109" customFormat="1" ht="24.75" customHeight="1" outlineLevel="1">
      <c r="B83" s="165"/>
      <c r="C83" s="392"/>
      <c r="D83" s="112"/>
      <c r="E83" s="166"/>
      <c r="F83" s="166"/>
      <c r="G83" s="167"/>
    </row>
    <row r="84" spans="2:11" s="109" customFormat="1" ht="22.5" customHeight="1" outlineLevel="1">
      <c r="B84" s="143"/>
      <c r="C84" s="111"/>
      <c r="D84" s="144"/>
      <c r="E84" s="314"/>
      <c r="F84" s="315"/>
      <c r="G84" s="315"/>
      <c r="H84" s="315"/>
      <c r="I84" s="315"/>
      <c r="J84" s="315"/>
      <c r="K84" s="315"/>
    </row>
    <row r="85" spans="2:11" s="109" customFormat="1" ht="15" outlineLevel="1">
      <c r="B85" s="392"/>
      <c r="C85" s="392"/>
      <c r="D85" s="112"/>
      <c r="E85" s="316"/>
      <c r="F85" s="316"/>
      <c r="G85" s="317"/>
      <c r="H85" s="315"/>
      <c r="I85" s="315"/>
      <c r="J85" s="315"/>
      <c r="K85" s="352"/>
    </row>
    <row r="86" spans="2:11" s="109" customFormat="1" ht="15" outlineLevel="1">
      <c r="B86" s="168"/>
      <c r="C86" s="392"/>
      <c r="D86" s="112"/>
      <c r="E86" s="247"/>
      <c r="F86" s="316"/>
      <c r="G86" s="316"/>
      <c r="H86" s="317"/>
      <c r="I86" s="317"/>
      <c r="J86" s="315"/>
      <c r="K86" s="352"/>
    </row>
    <row r="87" spans="2:11" s="109" customFormat="1" ht="15" outlineLevel="1">
      <c r="B87" s="168"/>
      <c r="C87" s="392"/>
      <c r="D87" s="112"/>
      <c r="E87" s="247"/>
      <c r="F87" s="316"/>
      <c r="G87" s="316"/>
      <c r="H87" s="317"/>
      <c r="I87" s="317"/>
      <c r="J87" s="315"/>
      <c r="K87" s="315"/>
    </row>
    <row r="88" spans="2:11" s="109" customFormat="1" ht="15" outlineLevel="1">
      <c r="B88" s="392"/>
      <c r="C88" s="392"/>
      <c r="D88" s="112"/>
      <c r="E88" s="247"/>
      <c r="F88" s="316"/>
      <c r="G88" s="316"/>
      <c r="H88" s="353"/>
      <c r="I88" s="317"/>
      <c r="J88" s="315"/>
      <c r="K88" s="315"/>
    </row>
    <row r="89" spans="2:11" s="109" customFormat="1" ht="15" outlineLevel="1">
      <c r="B89" s="392"/>
      <c r="C89" s="392"/>
      <c r="D89" s="112"/>
      <c r="E89" s="247"/>
      <c r="F89" s="316"/>
      <c r="G89" s="316"/>
      <c r="H89" s="317"/>
      <c r="I89" s="317"/>
      <c r="J89" s="315"/>
      <c r="K89" s="315"/>
    </row>
    <row r="90" spans="2:11" s="109" customFormat="1" ht="22.5" customHeight="1" outlineLevel="1">
      <c r="B90" s="143"/>
      <c r="C90" s="111"/>
      <c r="D90" s="144"/>
      <c r="E90" s="314"/>
      <c r="F90" s="315"/>
      <c r="G90" s="315"/>
      <c r="H90" s="315"/>
      <c r="I90" s="315"/>
      <c r="J90" s="315"/>
      <c r="K90" s="315"/>
    </row>
    <row r="91" spans="2:11" s="109" customFormat="1" ht="15" outlineLevel="1">
      <c r="B91" s="392"/>
      <c r="C91" s="392"/>
      <c r="D91" s="112"/>
      <c r="E91" s="247"/>
      <c r="F91" s="316"/>
      <c r="G91" s="316"/>
      <c r="H91" s="354"/>
      <c r="I91" s="317"/>
      <c r="J91" s="315"/>
      <c r="K91" s="315"/>
    </row>
    <row r="92" spans="2:11" s="109" customFormat="1" ht="15" outlineLevel="1">
      <c r="B92" s="392"/>
      <c r="C92" s="392"/>
      <c r="D92" s="112"/>
      <c r="E92" s="247"/>
      <c r="F92" s="316"/>
      <c r="G92" s="320"/>
      <c r="H92" s="355"/>
      <c r="I92" s="317"/>
      <c r="J92" s="315"/>
      <c r="K92" s="315"/>
    </row>
    <row r="93" spans="2:11" s="109" customFormat="1" ht="22.5" customHeight="1" outlineLevel="1">
      <c r="B93" s="143"/>
      <c r="C93" s="111"/>
      <c r="D93" s="144"/>
      <c r="E93" s="314"/>
      <c r="F93" s="315"/>
      <c r="G93" s="321"/>
      <c r="H93" s="356"/>
      <c r="I93" s="315"/>
      <c r="J93" s="315"/>
      <c r="K93" s="315"/>
    </row>
    <row r="94" spans="2:11" s="109" customFormat="1" ht="15" outlineLevel="1">
      <c r="B94" s="392"/>
      <c r="C94" s="392"/>
      <c r="D94" s="113"/>
      <c r="E94" s="318"/>
      <c r="F94" s="315"/>
      <c r="G94" s="321"/>
      <c r="H94" s="356"/>
      <c r="I94" s="315"/>
      <c r="J94" s="315"/>
      <c r="K94" s="315"/>
    </row>
    <row r="95" spans="2:11" s="109" customFormat="1" ht="15" outlineLevel="1">
      <c r="B95" s="392"/>
      <c r="C95" s="392"/>
      <c r="D95" s="113"/>
      <c r="E95" s="318"/>
      <c r="F95" s="315"/>
      <c r="G95" s="315"/>
      <c r="H95" s="315"/>
      <c r="I95" s="315"/>
      <c r="J95" s="315"/>
      <c r="K95" s="315"/>
    </row>
    <row r="96" spans="2:11" s="109" customFormat="1" ht="15" outlineLevel="1">
      <c r="B96" s="392"/>
      <c r="C96" s="392"/>
      <c r="D96" s="169"/>
      <c r="E96" s="247"/>
      <c r="F96" s="315"/>
      <c r="G96" s="315"/>
      <c r="H96" s="315"/>
      <c r="I96" s="315"/>
      <c r="J96" s="315"/>
      <c r="K96" s="315"/>
    </row>
    <row r="97" spans="1:11" s="109" customFormat="1" ht="15" outlineLevel="1">
      <c r="B97" s="392"/>
      <c r="C97" s="392"/>
      <c r="D97" s="169"/>
      <c r="E97" s="247"/>
      <c r="F97" s="315"/>
      <c r="G97" s="315"/>
      <c r="H97" s="315"/>
      <c r="I97" s="315"/>
      <c r="J97" s="315"/>
      <c r="K97" s="315"/>
    </row>
    <row r="98" spans="1:11" s="109" customFormat="1" ht="22.5" customHeight="1" outlineLevel="1">
      <c r="B98" s="143"/>
      <c r="C98" s="111"/>
      <c r="D98" s="144"/>
      <c r="E98" s="314"/>
      <c r="F98" s="315"/>
      <c r="G98" s="315"/>
      <c r="H98" s="357"/>
      <c r="I98" s="315"/>
      <c r="J98" s="315"/>
      <c r="K98" s="315"/>
    </row>
    <row r="99" spans="1:11" s="109" customFormat="1" ht="15" outlineLevel="1">
      <c r="B99" s="392"/>
      <c r="C99" s="392"/>
      <c r="D99" s="112"/>
      <c r="E99" s="247"/>
      <c r="F99" s="315"/>
      <c r="G99" s="315"/>
      <c r="H99" s="357"/>
      <c r="I99" s="315"/>
      <c r="J99" s="315"/>
      <c r="K99" s="315"/>
    </row>
    <row r="100" spans="1:11" s="109" customFormat="1" ht="15" outlineLevel="1">
      <c r="B100" s="392"/>
      <c r="C100" s="392"/>
      <c r="D100" s="169"/>
      <c r="E100" s="247"/>
      <c r="F100" s="315"/>
      <c r="G100" s="315"/>
      <c r="H100" s="358"/>
      <c r="I100" s="315"/>
      <c r="J100" s="315"/>
      <c r="K100" s="315"/>
    </row>
    <row r="101" spans="1:11" s="109" customFormat="1" ht="15" outlineLevel="1">
      <c r="B101" s="392"/>
      <c r="C101" s="392"/>
      <c r="D101" s="148"/>
      <c r="E101" s="319"/>
      <c r="F101" s="315"/>
      <c r="G101" s="315"/>
      <c r="H101" s="315"/>
      <c r="I101" s="315"/>
      <c r="J101" s="315"/>
      <c r="K101" s="315"/>
    </row>
    <row r="102" spans="1:11" s="109" customFormat="1" ht="15" outlineLevel="1">
      <c r="B102" s="392"/>
      <c r="C102" s="392"/>
      <c r="D102" s="112"/>
      <c r="E102" s="247"/>
      <c r="F102" s="315"/>
      <c r="G102" s="352"/>
      <c r="H102" s="315"/>
      <c r="I102" s="315"/>
      <c r="J102" s="315"/>
      <c r="K102" s="315"/>
    </row>
    <row r="103" spans="1:11" s="109" customFormat="1" ht="15" outlineLevel="1">
      <c r="B103" s="392"/>
      <c r="C103" s="392"/>
      <c r="D103" s="112"/>
      <c r="E103" s="247"/>
      <c r="F103" s="315"/>
      <c r="G103" s="352"/>
      <c r="H103" s="315"/>
      <c r="I103" s="315"/>
      <c r="J103" s="315"/>
      <c r="K103" s="315"/>
    </row>
    <row r="104" spans="1:11" s="109" customFormat="1" ht="15" outlineLevel="1">
      <c r="B104" s="392"/>
      <c r="C104" s="392"/>
      <c r="D104" s="113"/>
      <c r="E104" s="315"/>
      <c r="F104" s="315"/>
      <c r="G104" s="315"/>
      <c r="H104" s="315"/>
      <c r="I104" s="315"/>
      <c r="J104" s="315"/>
      <c r="K104" s="315"/>
    </row>
    <row r="105" spans="1:11" s="109" customFormat="1" ht="15" outlineLevel="1">
      <c r="B105" s="392"/>
      <c r="C105" s="392"/>
      <c r="D105" s="113"/>
    </row>
    <row r="106" spans="1:11" s="109" customFormat="1" ht="15" outlineLevel="1">
      <c r="B106" s="392"/>
      <c r="C106" s="392"/>
      <c r="D106" s="112"/>
      <c r="E106" s="170"/>
      <c r="F106" s="171"/>
      <c r="G106" s="171"/>
      <c r="H106" s="172"/>
      <c r="I106" s="172"/>
      <c r="J106" s="172"/>
    </row>
    <row r="107" spans="1:11" s="45" customFormat="1" ht="28.5" customHeight="1">
      <c r="A107" s="137"/>
      <c r="B107" s="138"/>
      <c r="C107" s="139"/>
      <c r="D107" s="139"/>
      <c r="E107" s="139"/>
      <c r="F107" s="141"/>
      <c r="G107" s="141"/>
      <c r="H107" s="141"/>
      <c r="I107" s="141"/>
      <c r="J107" s="142"/>
    </row>
    <row r="108" spans="1:11" s="109" customFormat="1" ht="15" outlineLevel="1">
      <c r="B108" s="111"/>
      <c r="C108" s="111"/>
      <c r="D108" s="111"/>
      <c r="E108" s="173"/>
      <c r="F108" s="170"/>
      <c r="G108" s="170"/>
      <c r="H108" s="170"/>
      <c r="I108" s="170"/>
      <c r="J108" s="170"/>
    </row>
    <row r="109" spans="1:11" s="109" customFormat="1" ht="15" outlineLevel="1">
      <c r="A109" s="174"/>
      <c r="B109" s="111"/>
      <c r="C109" s="111"/>
      <c r="D109" s="118"/>
      <c r="E109" s="119"/>
      <c r="F109" s="120"/>
      <c r="G109" s="121"/>
      <c r="H109" s="121"/>
      <c r="I109" s="121"/>
      <c r="J109" s="121"/>
    </row>
    <row r="110" spans="1:11" s="109" customFormat="1" ht="15" outlineLevel="1">
      <c r="A110" s="174"/>
      <c r="B110" s="143"/>
      <c r="C110" s="110"/>
      <c r="D110" s="122"/>
      <c r="E110" s="119"/>
      <c r="F110" s="120"/>
      <c r="G110" s="121"/>
      <c r="H110" s="121"/>
      <c r="I110" s="121"/>
      <c r="J110" s="121"/>
    </row>
    <row r="111" spans="1:11" s="109" customFormat="1" ht="25.5" customHeight="1" outlineLevel="1">
      <c r="A111" s="174"/>
      <c r="B111" s="175"/>
      <c r="C111" s="110"/>
      <c r="D111" s="176"/>
      <c r="E111" s="124"/>
      <c r="F111" s="125"/>
      <c r="G111" s="127"/>
      <c r="H111" s="127"/>
      <c r="I111" s="127"/>
      <c r="J111" s="128"/>
    </row>
    <row r="112" spans="1:11" s="109" customFormat="1" ht="15" outlineLevel="1">
      <c r="A112" s="177"/>
      <c r="B112" s="175"/>
      <c r="C112" s="392"/>
      <c r="D112" s="176"/>
      <c r="E112" s="124"/>
      <c r="F112" s="125"/>
      <c r="G112" s="127"/>
      <c r="H112" s="127"/>
      <c r="I112" s="127"/>
      <c r="J112" s="128"/>
    </row>
    <row r="113" spans="1:10" s="109" customFormat="1" ht="15" outlineLevel="1">
      <c r="A113" s="174"/>
      <c r="B113" s="175"/>
      <c r="C113" s="392"/>
      <c r="D113" s="116"/>
      <c r="E113" s="124"/>
      <c r="F113" s="125"/>
      <c r="G113" s="127"/>
      <c r="H113" s="127"/>
      <c r="I113" s="127"/>
      <c r="J113" s="128"/>
    </row>
    <row r="114" spans="1:10" s="109" customFormat="1" ht="15" outlineLevel="1">
      <c r="A114" s="174"/>
      <c r="B114" s="175"/>
      <c r="C114" s="392"/>
      <c r="D114" s="116"/>
      <c r="E114" s="124"/>
      <c r="F114" s="125"/>
      <c r="G114" s="127"/>
      <c r="H114" s="127"/>
      <c r="I114" s="127"/>
      <c r="J114" s="128"/>
    </row>
    <row r="115" spans="1:10" s="109" customFormat="1" ht="15" outlineLevel="1">
      <c r="A115" s="174"/>
      <c r="B115" s="175"/>
      <c r="C115" s="110"/>
      <c r="D115" s="178"/>
      <c r="E115" s="179"/>
      <c r="F115" s="180"/>
      <c r="G115" s="181"/>
      <c r="H115" s="181"/>
      <c r="I115" s="181"/>
      <c r="J115" s="182"/>
    </row>
    <row r="116" spans="1:10" s="109" customFormat="1" ht="15" outlineLevel="1">
      <c r="B116" s="111"/>
      <c r="C116" s="111"/>
      <c r="D116" s="183"/>
      <c r="E116" s="184"/>
      <c r="F116" s="185"/>
      <c r="G116" s="186"/>
      <c r="H116" s="186"/>
      <c r="I116" s="186"/>
      <c r="J116" s="187"/>
    </row>
    <row r="117" spans="1:10" s="109" customFormat="1" ht="22.5" customHeight="1" outlineLevel="1">
      <c r="A117" s="174"/>
      <c r="B117" s="143"/>
      <c r="C117" s="111"/>
      <c r="D117" s="188"/>
      <c r="E117" s="145"/>
      <c r="J117" s="189"/>
    </row>
    <row r="118" spans="1:10" s="109" customFormat="1" ht="25.5" customHeight="1" outlineLevel="1">
      <c r="A118" s="174"/>
      <c r="B118" s="175"/>
      <c r="C118" s="110"/>
      <c r="D118" s="176"/>
      <c r="E118" s="124"/>
      <c r="F118" s="125"/>
      <c r="G118" s="127"/>
      <c r="H118" s="127"/>
      <c r="I118" s="127"/>
      <c r="J118" s="128"/>
    </row>
    <row r="119" spans="1:10" s="109" customFormat="1" ht="15" outlineLevel="1">
      <c r="A119" s="174"/>
      <c r="B119" s="175"/>
      <c r="C119" s="175"/>
      <c r="D119" s="176"/>
      <c r="E119" s="179"/>
      <c r="F119" s="180"/>
      <c r="G119" s="181"/>
      <c r="H119" s="181"/>
      <c r="I119" s="181"/>
      <c r="J119" s="182"/>
    </row>
    <row r="120" spans="1:10" s="109" customFormat="1" ht="15" outlineLevel="1">
      <c r="A120" s="174"/>
      <c r="B120" s="175"/>
      <c r="C120" s="175"/>
      <c r="D120" s="176"/>
      <c r="E120" s="179"/>
      <c r="F120" s="180"/>
      <c r="G120" s="181"/>
      <c r="H120" s="181"/>
      <c r="I120" s="181"/>
      <c r="J120" s="182"/>
    </row>
    <row r="121" spans="1:10" s="109" customFormat="1" ht="15" outlineLevel="1">
      <c r="A121" s="174"/>
      <c r="B121" s="175"/>
      <c r="C121" s="175"/>
      <c r="D121" s="178"/>
      <c r="E121" s="179"/>
      <c r="F121" s="180"/>
      <c r="G121" s="181"/>
      <c r="H121" s="181"/>
      <c r="I121" s="181"/>
      <c r="J121" s="182"/>
    </row>
    <row r="122" spans="1:10" s="109" customFormat="1" ht="15" outlineLevel="1">
      <c r="A122" s="174"/>
      <c r="B122" s="111"/>
      <c r="C122" s="111"/>
      <c r="D122" s="183"/>
      <c r="E122" s="190"/>
      <c r="F122" s="191"/>
      <c r="G122" s="192"/>
      <c r="H122" s="192"/>
      <c r="I122" s="192"/>
      <c r="J122" s="193"/>
    </row>
    <row r="123" spans="1:10" s="109" customFormat="1" ht="25.5" customHeight="1" outlineLevel="1">
      <c r="A123" s="174"/>
      <c r="B123" s="175"/>
      <c r="C123" s="110"/>
      <c r="D123" s="176"/>
      <c r="E123" s="124"/>
      <c r="F123" s="125"/>
      <c r="G123" s="127"/>
      <c r="H123" s="127"/>
      <c r="I123" s="127"/>
      <c r="J123" s="128"/>
    </row>
    <row r="124" spans="1:10" s="109" customFormat="1" ht="15" outlineLevel="1">
      <c r="A124" s="174"/>
      <c r="B124" s="175"/>
      <c r="C124" s="175"/>
      <c r="D124" s="176"/>
      <c r="E124" s="179"/>
      <c r="F124" s="180"/>
      <c r="G124" s="181"/>
      <c r="H124" s="181"/>
      <c r="I124" s="181"/>
      <c r="J124" s="182"/>
    </row>
    <row r="125" spans="1:10" s="109" customFormat="1" ht="15" outlineLevel="1">
      <c r="A125" s="174"/>
      <c r="B125" s="175"/>
      <c r="C125" s="175"/>
      <c r="D125" s="178"/>
      <c r="E125" s="194"/>
      <c r="F125" s="195"/>
      <c r="G125" s="196"/>
      <c r="H125" s="196"/>
      <c r="I125" s="196"/>
      <c r="J125" s="197"/>
    </row>
    <row r="126" spans="1:10" s="109" customFormat="1" ht="15" outlineLevel="1">
      <c r="A126" s="174"/>
      <c r="B126" s="111"/>
      <c r="C126" s="198"/>
      <c r="D126" s="183"/>
      <c r="E126" s="199"/>
      <c r="F126" s="200"/>
      <c r="G126" s="201"/>
      <c r="H126" s="201"/>
      <c r="I126" s="201"/>
      <c r="J126" s="202"/>
    </row>
    <row r="127" spans="1:10" s="109" customFormat="1" ht="25.5" customHeight="1" outlineLevel="1">
      <c r="A127" s="174"/>
      <c r="B127" s="175"/>
      <c r="C127" s="203"/>
      <c r="D127" s="176"/>
      <c r="E127" s="124"/>
      <c r="F127" s="125"/>
      <c r="G127" s="127"/>
      <c r="H127" s="127"/>
      <c r="I127" s="127"/>
      <c r="J127" s="128"/>
    </row>
    <row r="128" spans="1:10" s="109" customFormat="1" ht="15" outlineLevel="1">
      <c r="A128" s="174"/>
      <c r="B128" s="175"/>
      <c r="C128" s="204"/>
      <c r="D128" s="176"/>
      <c r="E128" s="179"/>
      <c r="F128" s="180"/>
      <c r="G128" s="181"/>
      <c r="H128" s="181"/>
      <c r="I128" s="181"/>
      <c r="J128" s="182"/>
    </row>
    <row r="129" spans="1:10" s="109" customFormat="1" ht="15" outlineLevel="1">
      <c r="A129" s="174"/>
      <c r="B129" s="175"/>
      <c r="C129" s="204"/>
      <c r="D129" s="176"/>
      <c r="E129" s="179"/>
      <c r="F129" s="180"/>
      <c r="G129" s="181"/>
      <c r="H129" s="181"/>
      <c r="I129" s="181"/>
      <c r="J129" s="182"/>
    </row>
    <row r="130" spans="1:10" s="109" customFormat="1" ht="15" outlineLevel="1">
      <c r="A130" s="174"/>
      <c r="B130" s="175"/>
      <c r="C130" s="205"/>
      <c r="D130" s="176"/>
      <c r="E130" s="179"/>
      <c r="F130" s="180"/>
      <c r="G130" s="181"/>
      <c r="H130" s="181"/>
      <c r="I130" s="181"/>
      <c r="J130" s="182"/>
    </row>
    <row r="131" spans="1:10" s="109" customFormat="1" ht="15" outlineLevel="1">
      <c r="A131" s="174"/>
      <c r="B131" s="175"/>
      <c r="C131" s="205"/>
      <c r="D131" s="176"/>
      <c r="E131" s="179"/>
      <c r="F131" s="180"/>
      <c r="G131" s="181"/>
      <c r="H131" s="181"/>
      <c r="I131" s="181"/>
      <c r="J131" s="182"/>
    </row>
    <row r="132" spans="1:10" s="109" customFormat="1" ht="15" outlineLevel="1">
      <c r="A132" s="174"/>
      <c r="B132" s="175"/>
      <c r="C132" s="205"/>
      <c r="D132" s="176"/>
      <c r="E132" s="179"/>
      <c r="F132" s="180"/>
      <c r="G132" s="181"/>
      <c r="H132" s="181"/>
      <c r="I132" s="181"/>
      <c r="J132" s="182"/>
    </row>
    <row r="133" spans="1:10" s="109" customFormat="1" ht="15" outlineLevel="1">
      <c r="A133" s="174"/>
      <c r="B133" s="175"/>
      <c r="C133" s="205"/>
      <c r="D133" s="176"/>
      <c r="E133" s="179"/>
      <c r="F133" s="180"/>
      <c r="G133" s="181"/>
      <c r="H133" s="181"/>
      <c r="I133" s="181"/>
      <c r="J133" s="182"/>
    </row>
    <row r="134" spans="1:10" s="109" customFormat="1" ht="15" outlineLevel="1">
      <c r="A134" s="174"/>
      <c r="B134" s="175"/>
      <c r="C134" s="205"/>
      <c r="D134" s="176"/>
      <c r="E134" s="179"/>
      <c r="F134" s="180"/>
      <c r="G134" s="181"/>
      <c r="H134" s="181"/>
      <c r="I134" s="181"/>
      <c r="J134" s="182"/>
    </row>
    <row r="135" spans="1:10" s="109" customFormat="1" ht="15" outlineLevel="1">
      <c r="A135" s="174"/>
      <c r="B135" s="175"/>
      <c r="C135" s="205"/>
      <c r="D135" s="178"/>
      <c r="E135" s="179"/>
      <c r="F135" s="180"/>
      <c r="G135" s="181"/>
      <c r="H135" s="181"/>
      <c r="I135" s="181"/>
      <c r="J135" s="182"/>
    </row>
    <row r="136" spans="1:10" s="109" customFormat="1" ht="15" outlineLevel="1">
      <c r="A136" s="174"/>
      <c r="B136" s="111"/>
      <c r="C136" s="198"/>
      <c r="D136" s="183"/>
      <c r="E136" s="190"/>
      <c r="F136" s="191"/>
      <c r="G136" s="192"/>
      <c r="H136" s="192"/>
      <c r="I136" s="192"/>
      <c r="J136" s="193"/>
    </row>
    <row r="137" spans="1:10" s="135" customFormat="1" ht="22.5" customHeight="1" outlineLevel="1">
      <c r="A137" s="206"/>
      <c r="B137" s="207"/>
      <c r="C137" s="208"/>
      <c r="D137" s="188"/>
      <c r="E137" s="199"/>
      <c r="F137" s="200"/>
      <c r="G137" s="201"/>
      <c r="H137" s="201"/>
      <c r="I137" s="201"/>
      <c r="J137" s="202"/>
    </row>
    <row r="138" spans="1:10" s="109" customFormat="1" ht="22.5" customHeight="1" outlineLevel="1">
      <c r="A138" s="174"/>
      <c r="B138" s="143"/>
      <c r="C138" s="208"/>
      <c r="D138" s="188"/>
      <c r="E138" s="145"/>
      <c r="J138" s="189"/>
    </row>
    <row r="139" spans="1:10" s="109" customFormat="1" ht="25.5" customHeight="1" outlineLevel="1">
      <c r="A139" s="174"/>
      <c r="B139" s="175"/>
      <c r="C139" s="203"/>
      <c r="D139" s="176"/>
      <c r="E139" s="124"/>
      <c r="F139" s="125"/>
      <c r="G139" s="127"/>
      <c r="H139" s="127"/>
      <c r="I139" s="127"/>
      <c r="J139" s="128"/>
    </row>
    <row r="140" spans="1:10" s="109" customFormat="1" ht="15" outlineLevel="1">
      <c r="A140" s="174"/>
      <c r="B140" s="175"/>
      <c r="C140" s="204"/>
      <c r="D140" s="176"/>
      <c r="E140" s="124"/>
      <c r="F140" s="125"/>
      <c r="G140" s="127"/>
      <c r="H140" s="127"/>
      <c r="I140" s="127"/>
      <c r="J140" s="128"/>
    </row>
    <row r="141" spans="1:10" s="109" customFormat="1" ht="15" outlineLevel="1">
      <c r="A141" s="174"/>
      <c r="B141" s="175"/>
      <c r="C141" s="204"/>
      <c r="D141" s="176"/>
      <c r="E141" s="124"/>
      <c r="F141" s="125"/>
      <c r="G141" s="127"/>
      <c r="H141" s="127"/>
      <c r="I141" s="127"/>
      <c r="J141" s="128"/>
    </row>
    <row r="142" spans="1:10" s="109" customFormat="1" ht="15" outlineLevel="1">
      <c r="A142" s="174"/>
      <c r="B142" s="175"/>
      <c r="C142" s="204"/>
      <c r="D142" s="178"/>
      <c r="E142" s="194"/>
      <c r="F142" s="195"/>
      <c r="G142" s="196"/>
      <c r="H142" s="196"/>
      <c r="I142" s="196"/>
      <c r="J142" s="197"/>
    </row>
    <row r="143" spans="1:10" s="109" customFormat="1" ht="15" outlineLevel="1">
      <c r="A143" s="174"/>
      <c r="B143" s="111"/>
      <c r="C143" s="209"/>
      <c r="D143" s="183"/>
      <c r="E143" s="210"/>
      <c r="F143" s="211"/>
      <c r="G143" s="212"/>
      <c r="H143" s="212"/>
      <c r="I143" s="212"/>
      <c r="J143" s="213"/>
    </row>
    <row r="144" spans="1:10" s="109" customFormat="1" ht="22.5" customHeight="1" outlineLevel="1">
      <c r="A144" s="174"/>
      <c r="B144" s="207"/>
      <c r="C144" s="111"/>
      <c r="D144" s="188"/>
      <c r="E144" s="199"/>
      <c r="F144" s="200"/>
      <c r="G144" s="201"/>
      <c r="H144" s="201"/>
      <c r="I144" s="201"/>
      <c r="J144" s="202"/>
    </row>
    <row r="145" spans="1:10" s="109" customFormat="1" ht="22.5" customHeight="1" outlineLevel="1">
      <c r="B145" s="207"/>
      <c r="C145" s="111"/>
      <c r="D145" s="183"/>
      <c r="E145" s="199"/>
      <c r="F145" s="200"/>
      <c r="G145" s="201"/>
      <c r="H145" s="201"/>
      <c r="I145" s="201"/>
      <c r="J145" s="202"/>
    </row>
    <row r="146" spans="1:10" s="109" customFormat="1" ht="22.5" customHeight="1" outlineLevel="1">
      <c r="A146" s="174"/>
      <c r="B146" s="143"/>
      <c r="C146" s="111"/>
      <c r="D146" s="188"/>
      <c r="E146" s="145"/>
      <c r="J146" s="189"/>
    </row>
    <row r="147" spans="1:10" s="109" customFormat="1" ht="25.5" customHeight="1" outlineLevel="1">
      <c r="A147" s="174"/>
      <c r="B147" s="175"/>
      <c r="C147" s="110"/>
      <c r="D147" s="176"/>
      <c r="E147" s="124"/>
      <c r="F147" s="125"/>
      <c r="G147" s="127"/>
      <c r="H147" s="127"/>
      <c r="I147" s="127"/>
      <c r="J147" s="128"/>
    </row>
    <row r="148" spans="1:10" s="109" customFormat="1" ht="15" outlineLevel="1">
      <c r="A148" s="174"/>
      <c r="B148" s="175"/>
      <c r="C148" s="175"/>
      <c r="D148" s="178"/>
      <c r="E148" s="124"/>
      <c r="F148" s="125"/>
      <c r="G148" s="127"/>
      <c r="H148" s="127"/>
      <c r="I148" s="127"/>
      <c r="J148" s="128"/>
    </row>
    <row r="149" spans="1:10" s="109" customFormat="1" ht="15" outlineLevel="1">
      <c r="A149" s="174"/>
      <c r="B149" s="111"/>
      <c r="C149" s="392"/>
      <c r="D149" s="183"/>
      <c r="E149" s="190"/>
      <c r="F149" s="191"/>
      <c r="G149" s="192"/>
      <c r="H149" s="192"/>
      <c r="I149" s="192"/>
      <c r="J149" s="193"/>
    </row>
    <row r="150" spans="1:10" s="109" customFormat="1" ht="22.5" customHeight="1" outlineLevel="1">
      <c r="A150" s="177"/>
      <c r="B150" s="143"/>
      <c r="C150" s="111"/>
      <c r="D150" s="188"/>
      <c r="E150" s="145"/>
      <c r="J150" s="189"/>
    </row>
    <row r="151" spans="1:10" s="109" customFormat="1" ht="25.5" customHeight="1" outlineLevel="1">
      <c r="A151" s="174"/>
      <c r="B151" s="175"/>
      <c r="C151" s="110"/>
      <c r="D151" s="176"/>
      <c r="E151" s="124"/>
      <c r="F151" s="125"/>
      <c r="G151" s="127"/>
      <c r="H151" s="127"/>
      <c r="I151" s="127"/>
      <c r="J151" s="128"/>
    </row>
    <row r="152" spans="1:10" s="109" customFormat="1" ht="15" outlineLevel="1">
      <c r="A152" s="174"/>
      <c r="B152" s="175"/>
      <c r="C152" s="392"/>
      <c r="D152" s="178"/>
      <c r="E152" s="124"/>
      <c r="F152" s="125"/>
      <c r="G152" s="127"/>
      <c r="H152" s="127"/>
      <c r="I152" s="127"/>
      <c r="J152" s="128"/>
    </row>
    <row r="153" spans="1:10" s="109" customFormat="1" ht="15" outlineLevel="1">
      <c r="B153" s="111"/>
      <c r="C153" s="111"/>
      <c r="D153" s="183"/>
      <c r="E153" s="190"/>
      <c r="F153" s="191"/>
      <c r="G153" s="192"/>
      <c r="H153" s="192"/>
      <c r="I153" s="192"/>
      <c r="J153" s="193"/>
    </row>
    <row r="154" spans="1:10" s="109" customFormat="1" ht="22.5" customHeight="1" outlineLevel="1">
      <c r="A154" s="174"/>
      <c r="B154" s="207"/>
      <c r="C154" s="111"/>
      <c r="D154" s="188"/>
      <c r="E154" s="199"/>
      <c r="F154" s="200"/>
      <c r="G154" s="201"/>
      <c r="H154" s="201"/>
      <c r="I154" s="201"/>
      <c r="J154" s="202"/>
    </row>
    <row r="155" spans="1:10" s="109" customFormat="1" ht="22.5" customHeight="1" outlineLevel="1">
      <c r="A155" s="174"/>
      <c r="B155" s="143"/>
      <c r="C155" s="111"/>
      <c r="D155" s="188"/>
      <c r="E155" s="145"/>
      <c r="J155" s="189"/>
    </row>
    <row r="156" spans="1:10" s="109" customFormat="1" ht="25.5" customHeight="1" outlineLevel="1">
      <c r="A156" s="174"/>
      <c r="B156" s="175"/>
      <c r="C156" s="110"/>
      <c r="D156" s="176"/>
      <c r="E156" s="124"/>
      <c r="F156" s="125"/>
      <c r="G156" s="127"/>
      <c r="H156" s="127"/>
      <c r="I156" s="127"/>
      <c r="J156" s="128"/>
    </row>
    <row r="157" spans="1:10" s="109" customFormat="1" ht="15" outlineLevel="1">
      <c r="A157" s="174"/>
      <c r="B157" s="175"/>
      <c r="C157" s="111"/>
      <c r="D157" s="178"/>
      <c r="E157" s="124"/>
      <c r="F157" s="125"/>
      <c r="G157" s="127"/>
      <c r="H157" s="127"/>
      <c r="I157" s="127"/>
      <c r="J157" s="128"/>
    </row>
    <row r="158" spans="1:10" s="109" customFormat="1" ht="22.5" customHeight="1" outlineLevel="1">
      <c r="B158" s="207"/>
      <c r="C158" s="111"/>
      <c r="D158" s="188"/>
      <c r="E158" s="190"/>
      <c r="F158" s="191"/>
      <c r="G158" s="192"/>
      <c r="H158" s="192"/>
      <c r="I158" s="192"/>
      <c r="J158" s="193"/>
    </row>
    <row r="159" spans="1:10" s="109" customFormat="1" ht="15" outlineLevel="1">
      <c r="B159" s="111"/>
      <c r="C159" s="111"/>
      <c r="D159" s="188"/>
      <c r="E159" s="214"/>
      <c r="F159" s="215"/>
      <c r="G159" s="216"/>
      <c r="H159" s="216"/>
      <c r="I159" s="216"/>
      <c r="J159" s="217"/>
    </row>
    <row r="160" spans="1:10" s="45" customFormat="1" ht="28.5" customHeight="1">
      <c r="A160" s="137"/>
      <c r="B160" s="138"/>
      <c r="C160" s="139"/>
      <c r="D160" s="218"/>
      <c r="E160" s="219"/>
      <c r="F160" s="220"/>
      <c r="G160" s="221"/>
      <c r="H160" s="221"/>
      <c r="I160" s="221"/>
      <c r="J160" s="142"/>
    </row>
    <row r="161" spans="2:11" s="109" customFormat="1" ht="32.25" customHeight="1" outlineLevel="1">
      <c r="B161" s="111"/>
      <c r="C161" s="111"/>
      <c r="D161" s="188"/>
      <c r="E161" s="119"/>
      <c r="F161" s="120"/>
      <c r="G161" s="121"/>
      <c r="H161" s="121"/>
      <c r="I161" s="121"/>
      <c r="J161" s="222"/>
    </row>
    <row r="162" spans="2:11" s="109" customFormat="1" ht="15" outlineLevel="1">
      <c r="B162" s="110"/>
      <c r="C162" s="110"/>
      <c r="D162" s="188"/>
      <c r="E162" s="119"/>
      <c r="F162" s="120"/>
      <c r="G162" s="121"/>
      <c r="H162" s="121"/>
      <c r="I162" s="121"/>
      <c r="J162" s="222"/>
    </row>
    <row r="163" spans="2:11" s="109" customFormat="1" ht="25.5" customHeight="1" outlineLevel="1">
      <c r="B163" s="175"/>
      <c r="C163" s="110"/>
      <c r="D163" s="176"/>
      <c r="E163" s="124"/>
      <c r="F163" s="125"/>
      <c r="G163" s="127"/>
      <c r="H163" s="127"/>
      <c r="I163" s="127"/>
      <c r="J163" s="128"/>
    </row>
    <row r="164" spans="2:11" s="109" customFormat="1" ht="15" outlineLevel="1">
      <c r="B164" s="175"/>
      <c r="C164" s="392"/>
      <c r="D164" s="116"/>
      <c r="E164" s="179"/>
      <c r="F164" s="180"/>
      <c r="G164" s="181"/>
      <c r="H164" s="181"/>
      <c r="I164" s="181"/>
      <c r="J164" s="182"/>
    </row>
    <row r="165" spans="2:11" s="45" customFormat="1" ht="15" outlineLevel="1">
      <c r="B165" s="223"/>
      <c r="C165" s="224"/>
      <c r="D165" s="116"/>
      <c r="E165" s="179"/>
      <c r="F165" s="180"/>
      <c r="G165" s="181"/>
      <c r="H165" s="181"/>
      <c r="I165" s="181"/>
      <c r="J165" s="182"/>
      <c r="K165" s="109"/>
    </row>
    <row r="166" spans="2:11" s="109" customFormat="1" ht="15" outlineLevel="1">
      <c r="B166" s="175"/>
      <c r="C166" s="110"/>
      <c r="D166" s="178"/>
      <c r="E166" s="179"/>
      <c r="F166" s="180"/>
      <c r="G166" s="181"/>
      <c r="H166" s="181"/>
      <c r="I166" s="181"/>
      <c r="J166" s="182"/>
    </row>
    <row r="167" spans="2:11" s="109" customFormat="1" ht="15" outlineLevel="1">
      <c r="B167" s="111"/>
      <c r="C167" s="111"/>
      <c r="D167" s="225"/>
      <c r="E167" s="190"/>
      <c r="F167" s="191"/>
      <c r="G167" s="192"/>
      <c r="H167" s="192"/>
      <c r="I167" s="192"/>
      <c r="J167" s="193"/>
    </row>
    <row r="168" spans="2:11" s="109" customFormat="1" ht="22.5" customHeight="1" outlineLevel="1">
      <c r="B168" s="143"/>
      <c r="C168" s="111"/>
      <c r="D168" s="188"/>
      <c r="E168" s="145"/>
      <c r="J168" s="189"/>
    </row>
    <row r="169" spans="2:11" s="109" customFormat="1" ht="25.5" customHeight="1" outlineLevel="1">
      <c r="B169" s="175"/>
      <c r="C169" s="110"/>
      <c r="D169" s="176"/>
      <c r="E169" s="124"/>
      <c r="F169" s="125"/>
      <c r="G169" s="127"/>
      <c r="H169" s="127"/>
      <c r="I169" s="127"/>
      <c r="J169" s="128"/>
    </row>
    <row r="170" spans="2:11" s="109" customFormat="1" ht="15" outlineLevel="1">
      <c r="B170" s="175"/>
      <c r="C170" s="226"/>
      <c r="D170" s="176"/>
      <c r="E170" s="179"/>
      <c r="F170" s="180"/>
      <c r="G170" s="181"/>
      <c r="H170" s="181"/>
      <c r="I170" s="181"/>
      <c r="J170" s="182"/>
    </row>
    <row r="171" spans="2:11" s="109" customFormat="1" ht="15" outlineLevel="1">
      <c r="B171" s="227"/>
      <c r="C171" s="226"/>
      <c r="D171" s="176"/>
      <c r="E171" s="179"/>
      <c r="F171" s="180"/>
      <c r="G171" s="181"/>
      <c r="H171" s="181"/>
      <c r="I171" s="181"/>
      <c r="J171" s="182"/>
    </row>
    <row r="172" spans="2:11" s="109" customFormat="1" ht="15" outlineLevel="1">
      <c r="B172" s="227"/>
      <c r="C172" s="209"/>
      <c r="D172" s="176"/>
      <c r="E172" s="179"/>
      <c r="F172" s="180"/>
      <c r="G172" s="181"/>
      <c r="H172" s="181"/>
      <c r="I172" s="181"/>
      <c r="J172" s="182"/>
    </row>
    <row r="173" spans="2:11" s="109" customFormat="1" ht="15" outlineLevel="1">
      <c r="B173" s="227"/>
      <c r="C173" s="209"/>
      <c r="D173" s="176"/>
      <c r="E173" s="179"/>
      <c r="F173" s="180"/>
      <c r="G173" s="181"/>
      <c r="H173" s="181"/>
      <c r="I173" s="181"/>
      <c r="J173" s="182"/>
    </row>
    <row r="174" spans="2:11" s="109" customFormat="1" ht="15" outlineLevel="1">
      <c r="B174" s="227"/>
      <c r="C174" s="359"/>
      <c r="D174" s="176"/>
      <c r="E174" s="179"/>
      <c r="F174" s="180"/>
      <c r="G174" s="181"/>
      <c r="H174" s="181"/>
      <c r="I174" s="181"/>
      <c r="J174" s="182"/>
    </row>
    <row r="175" spans="2:11" s="109" customFormat="1" ht="15" outlineLevel="1">
      <c r="B175" s="175"/>
      <c r="C175" s="226"/>
      <c r="D175" s="178"/>
      <c r="E175" s="179"/>
      <c r="F175" s="180"/>
      <c r="G175" s="181"/>
      <c r="H175" s="181"/>
      <c r="I175" s="181"/>
      <c r="J175" s="182"/>
    </row>
    <row r="176" spans="2:11" s="109" customFormat="1" ht="15" outlineLevel="1">
      <c r="B176" s="111"/>
      <c r="C176" s="208"/>
      <c r="D176" s="225"/>
      <c r="E176" s="184"/>
      <c r="F176" s="185"/>
      <c r="G176" s="186"/>
      <c r="H176" s="186"/>
      <c r="I176" s="186"/>
      <c r="J176" s="187"/>
    </row>
    <row r="177" spans="2:10" s="109" customFormat="1" ht="22.5" customHeight="1" outlineLevel="1">
      <c r="B177" s="207"/>
      <c r="C177" s="111"/>
      <c r="D177" s="188"/>
      <c r="E177" s="199"/>
      <c r="F177" s="200"/>
      <c r="G177" s="201"/>
      <c r="H177" s="201"/>
      <c r="I177" s="201"/>
      <c r="J177" s="202"/>
    </row>
    <row r="178" spans="2:10" s="109" customFormat="1" ht="22.5" customHeight="1" outlineLevel="1">
      <c r="B178" s="143"/>
      <c r="C178" s="111"/>
      <c r="D178" s="188"/>
      <c r="E178" s="145"/>
      <c r="J178" s="189"/>
    </row>
    <row r="179" spans="2:10" s="109" customFormat="1" ht="25.5" customHeight="1" outlineLevel="1">
      <c r="B179" s="175"/>
      <c r="C179" s="110"/>
      <c r="D179" s="176"/>
      <c r="E179" s="124"/>
      <c r="F179" s="125"/>
      <c r="G179" s="127"/>
      <c r="H179" s="127"/>
      <c r="I179" s="127"/>
      <c r="J179" s="128"/>
    </row>
    <row r="180" spans="2:10" s="109" customFormat="1" ht="15" outlineLevel="1">
      <c r="B180" s="175"/>
      <c r="C180" s="175"/>
      <c r="D180" s="116"/>
      <c r="E180" s="124"/>
      <c r="F180" s="125"/>
      <c r="G180" s="127"/>
      <c r="H180" s="127"/>
      <c r="I180" s="127"/>
      <c r="J180" s="128"/>
    </row>
    <row r="181" spans="2:10" s="109" customFormat="1" ht="15" outlineLevel="1">
      <c r="B181" s="175"/>
      <c r="C181" s="175"/>
      <c r="D181" s="116"/>
      <c r="E181" s="124"/>
      <c r="F181" s="125"/>
      <c r="G181" s="127"/>
      <c r="H181" s="127"/>
      <c r="I181" s="127"/>
      <c r="J181" s="128"/>
    </row>
    <row r="182" spans="2:10" s="109" customFormat="1" ht="15" outlineLevel="1">
      <c r="B182" s="175"/>
      <c r="C182" s="175"/>
      <c r="D182" s="176"/>
      <c r="E182" s="124"/>
      <c r="F182" s="125"/>
      <c r="G182" s="127"/>
      <c r="H182" s="127"/>
      <c r="I182" s="127"/>
      <c r="J182" s="128"/>
    </row>
    <row r="183" spans="2:10" s="109" customFormat="1" ht="15" outlineLevel="1">
      <c r="B183" s="175"/>
      <c r="C183" s="175"/>
      <c r="D183" s="123"/>
      <c r="E183" s="124"/>
      <c r="F183" s="125"/>
      <c r="G183" s="127"/>
      <c r="H183" s="127"/>
      <c r="I183" s="127"/>
      <c r="J183" s="128"/>
    </row>
    <row r="184" spans="2:10" s="109" customFormat="1" ht="15" outlineLevel="1">
      <c r="B184" s="175"/>
      <c r="C184" s="175"/>
      <c r="D184" s="178"/>
      <c r="E184" s="194"/>
      <c r="F184" s="195"/>
      <c r="G184" s="196"/>
      <c r="H184" s="196"/>
      <c r="I184" s="196"/>
      <c r="J184" s="197"/>
    </row>
    <row r="185" spans="2:10" s="109" customFormat="1" ht="15" outlineLevel="1">
      <c r="B185" s="111"/>
      <c r="C185" s="156"/>
      <c r="D185" s="183"/>
      <c r="E185" s="199"/>
      <c r="F185" s="200"/>
      <c r="G185" s="201"/>
      <c r="H185" s="201"/>
      <c r="I185" s="201"/>
      <c r="J185" s="202"/>
    </row>
    <row r="186" spans="2:10" s="109" customFormat="1" ht="22.5" customHeight="1" outlineLevel="1">
      <c r="B186" s="207"/>
      <c r="C186" s="111"/>
      <c r="D186" s="188"/>
      <c r="E186" s="199"/>
      <c r="F186" s="200"/>
      <c r="G186" s="201"/>
      <c r="H186" s="201"/>
      <c r="I186" s="201"/>
      <c r="J186" s="202"/>
    </row>
    <row r="187" spans="2:10" s="109" customFormat="1" ht="22.5" customHeight="1" outlineLevel="1">
      <c r="B187" s="207"/>
      <c r="C187" s="111"/>
      <c r="D187" s="188"/>
      <c r="E187" s="199"/>
      <c r="F187" s="200"/>
      <c r="G187" s="201"/>
      <c r="H187" s="201"/>
      <c r="I187" s="201"/>
      <c r="J187" s="202"/>
    </row>
    <row r="188" spans="2:10" s="109" customFormat="1" ht="22.5" customHeight="1" outlineLevel="1">
      <c r="B188" s="207"/>
      <c r="C188" s="111"/>
      <c r="D188" s="188"/>
      <c r="E188" s="199"/>
      <c r="F188" s="200"/>
      <c r="G188" s="201"/>
      <c r="H188" s="201"/>
      <c r="I188" s="201"/>
      <c r="J188" s="202"/>
    </row>
    <row r="189" spans="2:10" s="109" customFormat="1" ht="15" outlineLevel="1">
      <c r="B189" s="175"/>
      <c r="C189" s="175"/>
      <c r="D189" s="123"/>
      <c r="E189" s="179"/>
      <c r="F189" s="180"/>
      <c r="G189" s="181"/>
      <c r="H189" s="181"/>
      <c r="I189" s="181"/>
      <c r="J189" s="182"/>
    </row>
    <row r="190" spans="2:10" s="109" customFormat="1" ht="15" outlineLevel="1">
      <c r="B190" s="175"/>
      <c r="C190" s="175"/>
      <c r="D190" s="123"/>
      <c r="E190" s="179"/>
      <c r="F190" s="180"/>
      <c r="G190" s="181"/>
      <c r="H190" s="181"/>
      <c r="I190" s="181"/>
      <c r="J190" s="182"/>
    </row>
    <row r="191" spans="2:10" s="109" customFormat="1" ht="22.5" customHeight="1" outlineLevel="1">
      <c r="B191" s="207"/>
      <c r="C191" s="111"/>
      <c r="D191" s="188"/>
      <c r="E191" s="199"/>
      <c r="F191" s="200"/>
      <c r="G191" s="201"/>
      <c r="H191" s="201"/>
      <c r="I191" s="201"/>
      <c r="J191" s="202"/>
    </row>
    <row r="192" spans="2:10" s="109" customFormat="1" ht="22.5" customHeight="1" outlineLevel="1">
      <c r="B192" s="143"/>
      <c r="C192" s="111"/>
      <c r="D192" s="188"/>
      <c r="E192" s="145"/>
      <c r="J192" s="189"/>
    </row>
    <row r="193" spans="1:10" s="109" customFormat="1" ht="25.5" customHeight="1" outlineLevel="1">
      <c r="B193" s="175"/>
      <c r="C193" s="110"/>
      <c r="D193" s="176"/>
      <c r="E193" s="124"/>
      <c r="F193" s="125"/>
      <c r="G193" s="127"/>
      <c r="H193" s="127"/>
      <c r="I193" s="127"/>
      <c r="J193" s="128"/>
    </row>
    <row r="194" spans="1:10" s="109" customFormat="1" ht="15" outlineLevel="1">
      <c r="B194" s="175"/>
      <c r="C194" s="392"/>
      <c r="D194" s="116"/>
      <c r="E194" s="124"/>
      <c r="F194" s="125"/>
      <c r="G194" s="127"/>
      <c r="H194" s="127"/>
      <c r="I194" s="127"/>
      <c r="J194" s="128"/>
    </row>
    <row r="195" spans="1:10" s="109" customFormat="1" ht="15" outlineLevel="1">
      <c r="B195" s="111"/>
      <c r="C195" s="111"/>
      <c r="D195" s="228"/>
      <c r="E195" s="190"/>
      <c r="F195" s="191"/>
      <c r="G195" s="192"/>
      <c r="H195" s="192"/>
      <c r="I195" s="192"/>
      <c r="J195" s="193"/>
    </row>
    <row r="196" spans="1:10" s="109" customFormat="1" ht="22.5" customHeight="1" outlineLevel="1">
      <c r="B196" s="207"/>
      <c r="C196" s="111"/>
      <c r="D196" s="188"/>
      <c r="E196" s="199"/>
      <c r="F196" s="200"/>
      <c r="G196" s="201"/>
      <c r="H196" s="201"/>
      <c r="I196" s="201"/>
      <c r="J196" s="202"/>
    </row>
    <row r="197" spans="1:10" s="109" customFormat="1" ht="15" outlineLevel="1">
      <c r="B197" s="111"/>
      <c r="C197" s="111"/>
      <c r="D197" s="188"/>
      <c r="E197" s="229"/>
      <c r="F197" s="230"/>
      <c r="G197" s="231"/>
      <c r="H197" s="231"/>
      <c r="I197" s="231"/>
      <c r="J197" s="231"/>
    </row>
    <row r="198" spans="1:10" s="45" customFormat="1" ht="28.5" customHeight="1">
      <c r="A198" s="137"/>
      <c r="B198" s="138"/>
      <c r="C198" s="139"/>
      <c r="D198" s="218"/>
      <c r="E198" s="219"/>
      <c r="F198" s="220"/>
      <c r="G198" s="221"/>
      <c r="H198" s="221"/>
      <c r="I198" s="221"/>
      <c r="J198" s="142"/>
    </row>
    <row r="199" spans="1:10" s="109" customFormat="1" ht="35.25" customHeight="1" outlineLevel="1">
      <c r="B199" s="111"/>
      <c r="C199" s="188"/>
      <c r="D199" s="188"/>
      <c r="E199" s="188"/>
      <c r="F199" s="120"/>
      <c r="G199" s="121"/>
      <c r="H199" s="121"/>
      <c r="I199" s="121"/>
      <c r="J199" s="121"/>
    </row>
    <row r="200" spans="1:10" s="109" customFormat="1" ht="15" outlineLevel="1">
      <c r="B200" s="143"/>
      <c r="C200" s="188"/>
      <c r="D200" s="188"/>
      <c r="E200" s="188"/>
      <c r="F200" s="120"/>
      <c r="G200" s="121"/>
      <c r="H200" s="121"/>
      <c r="I200" s="121"/>
      <c r="J200" s="121"/>
    </row>
    <row r="201" spans="1:10" s="109" customFormat="1" ht="25.5" customHeight="1" outlineLevel="1">
      <c r="B201" s="175"/>
      <c r="C201" s="176"/>
      <c r="D201" s="176"/>
      <c r="E201" s="176"/>
      <c r="F201" s="232"/>
      <c r="G201" s="233"/>
      <c r="H201" s="233"/>
      <c r="I201" s="233"/>
      <c r="J201" s="232"/>
    </row>
    <row r="202" spans="1:10" s="109" customFormat="1" ht="15" outlineLevel="1">
      <c r="B202" s="175"/>
      <c r="C202" s="176"/>
      <c r="D202" s="176"/>
      <c r="E202" s="176"/>
      <c r="F202" s="232"/>
      <c r="G202" s="233"/>
      <c r="H202" s="233"/>
      <c r="I202" s="233"/>
      <c r="J202" s="232"/>
    </row>
    <row r="203" spans="1:10" s="109" customFormat="1" ht="15" outlineLevel="1">
      <c r="A203" s="209"/>
      <c r="B203" s="175"/>
      <c r="C203" s="176"/>
      <c r="D203" s="176"/>
      <c r="E203" s="176"/>
      <c r="F203" s="232"/>
      <c r="G203" s="233"/>
      <c r="H203" s="233"/>
      <c r="I203" s="233"/>
      <c r="J203" s="232"/>
    </row>
    <row r="204" spans="1:10" s="109" customFormat="1" ht="15" outlineLevel="1">
      <c r="A204" s="209"/>
      <c r="B204" s="175"/>
      <c r="C204" s="178"/>
      <c r="D204" s="178"/>
      <c r="E204" s="178"/>
      <c r="F204" s="234"/>
      <c r="G204" s="235"/>
      <c r="H204" s="235"/>
      <c r="I204" s="235"/>
      <c r="J204" s="234"/>
    </row>
    <row r="205" spans="1:10" s="109" customFormat="1" ht="15" outlineLevel="1">
      <c r="A205" s="209"/>
      <c r="B205" s="111"/>
      <c r="C205" s="183"/>
      <c r="D205" s="183"/>
      <c r="E205" s="183"/>
      <c r="F205" s="236"/>
      <c r="G205" s="237"/>
      <c r="H205" s="237"/>
      <c r="I205" s="237"/>
      <c r="J205" s="236"/>
    </row>
    <row r="206" spans="1:10" s="109" customFormat="1" ht="25.5" customHeight="1" outlineLevel="1">
      <c r="A206" s="209"/>
      <c r="B206" s="175"/>
      <c r="C206" s="176"/>
      <c r="D206" s="176"/>
      <c r="E206" s="176"/>
      <c r="F206" s="232"/>
      <c r="G206" s="233"/>
      <c r="H206" s="233"/>
      <c r="I206" s="233"/>
      <c r="J206" s="232"/>
    </row>
    <row r="207" spans="1:10" s="109" customFormat="1" ht="15" outlineLevel="1">
      <c r="A207" s="209"/>
      <c r="B207" s="175"/>
      <c r="C207" s="176"/>
      <c r="D207" s="176"/>
      <c r="E207" s="176"/>
      <c r="F207" s="232"/>
      <c r="G207" s="233"/>
      <c r="H207" s="233"/>
      <c r="I207" s="233"/>
      <c r="J207" s="232"/>
    </row>
    <row r="208" spans="1:10" s="109" customFormat="1" ht="15" outlineLevel="1">
      <c r="A208" s="177"/>
      <c r="B208" s="175"/>
      <c r="C208" s="176"/>
      <c r="D208" s="176"/>
      <c r="E208" s="176"/>
      <c r="F208" s="238"/>
      <c r="G208" s="239"/>
      <c r="H208" s="239"/>
      <c r="I208" s="239"/>
      <c r="J208" s="238"/>
    </row>
    <row r="209" spans="1:10" s="109" customFormat="1" ht="15" outlineLevel="1">
      <c r="A209" s="209"/>
      <c r="B209" s="175"/>
      <c r="C209" s="176"/>
      <c r="D209" s="176"/>
      <c r="E209" s="176"/>
      <c r="F209" s="238"/>
      <c r="G209" s="239"/>
      <c r="H209" s="239"/>
      <c r="I209" s="239"/>
      <c r="J209" s="238"/>
    </row>
    <row r="210" spans="1:10" s="109" customFormat="1" ht="15" outlineLevel="1">
      <c r="A210" s="209"/>
      <c r="B210" s="175"/>
      <c r="C210" s="178"/>
      <c r="D210" s="178"/>
      <c r="E210" s="178"/>
      <c r="F210" s="234"/>
      <c r="G210" s="235"/>
      <c r="H210" s="235"/>
      <c r="I210" s="235"/>
      <c r="J210" s="234"/>
    </row>
    <row r="211" spans="1:10" s="109" customFormat="1" ht="15" outlineLevel="1">
      <c r="A211" s="177"/>
      <c r="B211" s="111"/>
      <c r="C211" s="188"/>
      <c r="D211" s="188"/>
      <c r="E211" s="188"/>
      <c r="F211" s="240"/>
      <c r="G211" s="241"/>
      <c r="H211" s="241"/>
      <c r="I211" s="241"/>
      <c r="J211" s="240"/>
    </row>
    <row r="212" spans="1:10" s="109" customFormat="1" ht="22.5" customHeight="1" outlineLevel="1">
      <c r="A212" s="209"/>
      <c r="B212" s="207"/>
      <c r="C212" s="188"/>
      <c r="D212" s="188"/>
      <c r="E212" s="188"/>
      <c r="F212" s="236"/>
      <c r="G212" s="237"/>
      <c r="H212" s="237"/>
      <c r="I212" s="237"/>
      <c r="J212" s="236"/>
    </row>
    <row r="213" spans="1:10" s="109" customFormat="1" ht="22.5" customHeight="1" outlineLevel="1">
      <c r="A213" s="209"/>
      <c r="B213" s="207"/>
      <c r="C213" s="242"/>
      <c r="F213" s="243"/>
      <c r="G213" s="243"/>
      <c r="H213" s="243"/>
      <c r="I213" s="243"/>
      <c r="J213" s="240"/>
    </row>
    <row r="214" spans="1:10" s="109" customFormat="1" ht="25.5" customHeight="1" outlineLevel="1">
      <c r="A214" s="209"/>
      <c r="B214" s="175"/>
      <c r="C214" s="244"/>
      <c r="D214" s="244"/>
      <c r="E214" s="244"/>
      <c r="F214" s="238"/>
      <c r="G214" s="239"/>
      <c r="H214" s="239"/>
      <c r="I214" s="239"/>
      <c r="J214" s="238"/>
    </row>
    <row r="215" spans="1:10" s="135" customFormat="1" ht="25.5" customHeight="1" outlineLevel="1">
      <c r="A215" s="245"/>
      <c r="B215" s="111"/>
      <c r="C215" s="246"/>
      <c r="D215" s="246"/>
      <c r="E215" s="246"/>
      <c r="F215" s="240"/>
      <c r="G215" s="241"/>
      <c r="H215" s="241"/>
      <c r="I215" s="241"/>
      <c r="J215" s="240"/>
    </row>
    <row r="216" spans="1:10" s="109" customFormat="1" ht="22.5" customHeight="1" outlineLevel="1">
      <c r="A216" s="209"/>
      <c r="B216" s="207"/>
      <c r="C216" s="242"/>
      <c r="F216" s="243"/>
      <c r="G216" s="243"/>
      <c r="H216" s="243"/>
      <c r="I216" s="243"/>
      <c r="J216" s="240"/>
    </row>
    <row r="217" spans="1:10" s="109" customFormat="1" ht="26.25" customHeight="1" outlineLevel="1">
      <c r="A217" s="209"/>
      <c r="B217" s="143"/>
      <c r="F217" s="238"/>
      <c r="G217" s="239"/>
      <c r="H217" s="239"/>
      <c r="I217" s="239"/>
      <c r="J217" s="238"/>
    </row>
    <row r="218" spans="1:10" s="135" customFormat="1" ht="25.5" customHeight="1" outlineLevel="1">
      <c r="A218" s="245"/>
      <c r="B218" s="111"/>
      <c r="C218" s="122"/>
      <c r="D218" s="122"/>
      <c r="E218" s="122"/>
      <c r="F218" s="240"/>
      <c r="G218" s="241"/>
      <c r="H218" s="241"/>
      <c r="I218" s="241"/>
      <c r="J218" s="240"/>
    </row>
    <row r="219" spans="1:10" s="109" customFormat="1" ht="25.5" customHeight="1" outlineLevel="1">
      <c r="B219" s="175"/>
      <c r="C219" s="247"/>
      <c r="D219" s="247"/>
      <c r="E219" s="247"/>
      <c r="F219" s="232"/>
      <c r="G219" s="233"/>
      <c r="H219" s="233"/>
      <c r="I219" s="233"/>
      <c r="J219" s="232"/>
    </row>
    <row r="220" spans="1:10" s="109" customFormat="1" ht="15" outlineLevel="1">
      <c r="B220" s="175"/>
      <c r="C220" s="162"/>
      <c r="D220" s="162"/>
      <c r="E220" s="162"/>
      <c r="F220" s="234"/>
      <c r="G220" s="235"/>
      <c r="H220" s="235"/>
      <c r="I220" s="235"/>
      <c r="J220" s="234"/>
    </row>
    <row r="221" spans="1:10" s="109" customFormat="1" ht="15" outlineLevel="1">
      <c r="B221" s="111"/>
      <c r="C221" s="122"/>
      <c r="D221" s="122"/>
      <c r="E221" s="122"/>
      <c r="F221" s="240"/>
      <c r="G221" s="241"/>
      <c r="H221" s="241"/>
      <c r="I221" s="241"/>
      <c r="J221" s="240"/>
    </row>
    <row r="222" spans="1:10" s="135" customFormat="1" ht="25.5" customHeight="1" outlineLevel="1">
      <c r="B222" s="111"/>
      <c r="C222" s="246"/>
      <c r="D222" s="246"/>
      <c r="E222" s="246"/>
      <c r="F222" s="240"/>
      <c r="G222" s="241"/>
      <c r="H222" s="241"/>
      <c r="I222" s="241"/>
      <c r="J222" s="240"/>
    </row>
    <row r="223" spans="1:10" s="109" customFormat="1" ht="26.25" customHeight="1" outlineLevel="1">
      <c r="B223" s="143"/>
      <c r="C223" s="112"/>
      <c r="D223" s="112"/>
      <c r="E223" s="112"/>
      <c r="F223" s="238"/>
      <c r="G223" s="239"/>
      <c r="H223" s="239"/>
      <c r="I223" s="239"/>
      <c r="J223" s="238"/>
    </row>
    <row r="224" spans="1:10" s="109" customFormat="1" ht="22.5" customHeight="1" outlineLevel="1">
      <c r="B224" s="207"/>
      <c r="C224" s="122"/>
      <c r="D224" s="122"/>
      <c r="E224" s="122"/>
      <c r="F224" s="236"/>
      <c r="G224" s="237"/>
      <c r="H224" s="237"/>
      <c r="I224" s="237"/>
      <c r="J224" s="236"/>
    </row>
    <row r="225" spans="1:10" s="109" customFormat="1" ht="22.5" customHeight="1" outlineLevel="1">
      <c r="B225" s="207"/>
      <c r="C225" s="242"/>
      <c r="E225" s="248"/>
      <c r="F225" s="111"/>
      <c r="G225" s="249"/>
      <c r="H225" s="249"/>
      <c r="I225" s="249"/>
      <c r="J225" s="249"/>
    </row>
    <row r="226" spans="1:10" s="109" customFormat="1" ht="22.5" customHeight="1" outlineLevel="1">
      <c r="B226" s="207"/>
      <c r="C226" s="242"/>
      <c r="E226" s="248"/>
      <c r="F226" s="249"/>
      <c r="G226" s="249"/>
      <c r="H226" s="249"/>
      <c r="I226" s="249"/>
      <c r="J226" s="249"/>
    </row>
    <row r="227" spans="1:10" s="109" customFormat="1" ht="22.5" customHeight="1" outlineLevel="1">
      <c r="B227" s="207"/>
      <c r="C227" s="122"/>
      <c r="E227" s="199"/>
      <c r="F227" s="236"/>
      <c r="G227" s="237"/>
      <c r="H227" s="237"/>
      <c r="I227" s="237"/>
      <c r="J227" s="236"/>
    </row>
    <row r="228" spans="1:10" s="109" customFormat="1" ht="18" customHeight="1" outlineLevel="1">
      <c r="B228" s="207"/>
      <c r="C228" s="111"/>
      <c r="D228" s="242"/>
      <c r="E228" s="248"/>
      <c r="F228" s="249"/>
      <c r="G228" s="249"/>
      <c r="H228" s="249"/>
      <c r="I228" s="249"/>
      <c r="J228" s="249"/>
    </row>
    <row r="229" spans="1:10" ht="30" customHeight="1">
      <c r="A229" s="250"/>
      <c r="B229" s="251"/>
      <c r="C229" s="252"/>
      <c r="D229" s="252"/>
      <c r="E229" s="252"/>
      <c r="F229" s="253"/>
      <c r="G229" s="253"/>
      <c r="H229" s="253"/>
      <c r="I229" s="253"/>
      <c r="J229" s="253"/>
    </row>
    <row r="230" spans="1:10" hidden="1"/>
    <row r="231" spans="1:10" hidden="1"/>
    <row r="232" spans="1:10" hidden="1"/>
    <row r="233" spans="1:10" hidden="1">
      <c r="C233" s="254"/>
      <c r="D233" s="254"/>
      <c r="E233" s="254"/>
      <c r="F233" s="254"/>
      <c r="G233" s="254"/>
    </row>
    <row r="234" spans="1:10" hidden="1">
      <c r="C234" s="255"/>
      <c r="D234" s="256"/>
      <c r="E234" s="256"/>
      <c r="F234" s="257"/>
      <c r="G234" s="258"/>
    </row>
    <row r="235" spans="1:10" hidden="1">
      <c r="C235" s="259"/>
      <c r="D235" s="260"/>
      <c r="E235" s="260"/>
      <c r="F235" s="261"/>
      <c r="G235" s="262"/>
    </row>
    <row r="236" spans="1:10" hidden="1">
      <c r="C236" s="259"/>
      <c r="D236" s="260"/>
      <c r="E236" s="260"/>
      <c r="F236" s="261"/>
      <c r="G236" s="262"/>
    </row>
    <row r="237" spans="1:10" hidden="1">
      <c r="C237" s="259"/>
      <c r="D237" s="260"/>
      <c r="E237" s="260"/>
      <c r="F237" s="261"/>
      <c r="G237" s="262"/>
    </row>
    <row r="238" spans="1:10" hidden="1">
      <c r="C238" s="259"/>
      <c r="D238" s="260"/>
      <c r="E238" s="260"/>
      <c r="F238" s="261"/>
      <c r="G238" s="262"/>
    </row>
    <row r="239" spans="1:10" hidden="1">
      <c r="C239" s="259"/>
      <c r="D239" s="260"/>
      <c r="E239" s="261"/>
      <c r="F239" s="261"/>
      <c r="G239" s="262"/>
    </row>
    <row r="240" spans="1:10" hidden="1">
      <c r="C240" s="259"/>
      <c r="D240" s="261"/>
      <c r="E240" s="261"/>
      <c r="F240" s="261"/>
      <c r="G240" s="262"/>
    </row>
    <row r="241" spans="3:7" hidden="1">
      <c r="C241" s="263"/>
      <c r="D241" s="264"/>
      <c r="E241" s="264"/>
      <c r="F241" s="264"/>
      <c r="G241" s="265"/>
    </row>
    <row r="242" spans="3:7" hidden="1"/>
  </sheetData>
  <mergeCells count="4">
    <mergeCell ref="C5:E5"/>
    <mergeCell ref="C6:F6"/>
    <mergeCell ref="C13:F13"/>
    <mergeCell ref="E62:G62"/>
  </mergeCells>
  <dataValidations count="1">
    <dataValidation type="textLength" operator="equal" allowBlank="1" showInputMessage="1" showErrorMessage="1" sqref="C7:C9" xr:uid="{7BB575FB-18FD-6D4E-91DE-D678EB63A4F2}">
      <formula1>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1:N339"/>
  <sheetViews>
    <sheetView zoomScale="130" zoomScaleNormal="130" workbookViewId="0">
      <selection activeCell="D8" sqref="D8"/>
    </sheetView>
  </sheetViews>
  <sheetFormatPr baseColWidth="10" defaultRowHeight="15"/>
  <cols>
    <col min="1" max="1" width="32.33203125" style="1" customWidth="1"/>
    <col min="2" max="2" width="12.33203125" style="1" customWidth="1"/>
    <col min="3" max="3" width="14.1640625" style="1" customWidth="1"/>
    <col min="4" max="4" width="5.1640625" style="1" customWidth="1"/>
    <col min="5" max="5" width="16.5" style="1" customWidth="1"/>
    <col min="6" max="6" width="10.83203125" style="1"/>
    <col min="7" max="7" width="13.1640625" style="1" customWidth="1"/>
    <col min="8" max="8" width="18.5" style="1" customWidth="1"/>
    <col min="9" max="9" width="10.83203125" style="1" customWidth="1"/>
    <col min="10" max="10" width="11.1640625" style="1" bestFit="1" customWidth="1"/>
    <col min="11" max="11" width="62.33203125" style="1" customWidth="1"/>
    <col min="12" max="12" width="15.33203125" style="1" customWidth="1"/>
    <col min="13" max="13" width="10.83203125" style="1" customWidth="1"/>
    <col min="14" max="14" width="9.83203125" style="1" customWidth="1"/>
    <col min="15" max="15" width="10.83203125" style="1"/>
    <col min="16" max="16" width="9.1640625" style="1" customWidth="1"/>
    <col min="17" max="16384" width="10.83203125" style="1"/>
  </cols>
  <sheetData>
    <row r="1" spans="1:14" ht="21">
      <c r="A1" s="59" t="s">
        <v>165</v>
      </c>
      <c r="B1" s="51"/>
      <c r="C1" s="51"/>
      <c r="D1" s="51"/>
      <c r="E1" s="51"/>
      <c r="F1" s="396" t="s">
        <v>176</v>
      </c>
      <c r="G1" s="397"/>
      <c r="H1" s="397"/>
      <c r="I1" s="398">
        <f>'DairyBase dataset'!C10</f>
        <v>0</v>
      </c>
      <c r="J1" s="399" t="s">
        <v>15</v>
      </c>
      <c r="N1" s="393">
        <f>IFERROR(('Feed calculations'!H8/'DairyBase dataset'!D89),0)</f>
        <v>0</v>
      </c>
    </row>
    <row r="2" spans="1:14">
      <c r="A2" s="293" t="s">
        <v>138</v>
      </c>
      <c r="B2" s="438" t="str">
        <f xml:space="preserve"> "Default values are" &amp; " " &amp; 'DairyBase dataset'!C10 &amp; " values"</f>
        <v>Default values are  values</v>
      </c>
      <c r="C2" s="439"/>
      <c r="D2" s="73"/>
      <c r="F2" s="400" t="s">
        <v>91</v>
      </c>
      <c r="G2" s="5"/>
      <c r="H2" s="5"/>
      <c r="I2" s="401">
        <f>'DairyBase dataset'!D30</f>
        <v>0</v>
      </c>
      <c r="J2" s="402" t="e">
        <f>'Detailed Results'!E7</f>
        <v>#VALUE!</v>
      </c>
      <c r="K2" s="66"/>
    </row>
    <row r="3" spans="1:14">
      <c r="A3" s="288" t="s">
        <v>139</v>
      </c>
      <c r="B3" s="440"/>
      <c r="C3" s="441"/>
      <c r="D3" s="5"/>
      <c r="F3" s="400" t="s">
        <v>22</v>
      </c>
      <c r="G3" s="5"/>
      <c r="H3" s="5"/>
      <c r="I3" s="401">
        <f>'DairyBase dataset'!D31</f>
        <v>0</v>
      </c>
      <c r="J3" s="403" t="e">
        <f>'Detailed Results'!E12</f>
        <v>#VALUE!</v>
      </c>
      <c r="K3" s="66"/>
    </row>
    <row r="4" spans="1:14">
      <c r="A4" s="5"/>
      <c r="B4" s="5"/>
      <c r="C4" s="5"/>
      <c r="D4" s="5"/>
      <c r="F4" s="400" t="s">
        <v>92</v>
      </c>
      <c r="G4" s="5"/>
      <c r="H4" s="5"/>
      <c r="I4" s="401">
        <f>'DairyBase dataset'!D32</f>
        <v>0</v>
      </c>
      <c r="J4" s="403">
        <f>'Detailed Results'!E40</f>
        <v>0</v>
      </c>
    </row>
    <row r="5" spans="1:14">
      <c r="F5" s="400" t="s">
        <v>93</v>
      </c>
      <c r="G5" s="5"/>
      <c r="H5" s="5"/>
      <c r="I5" s="401">
        <f>'DairyBase dataset'!D33</f>
        <v>0</v>
      </c>
      <c r="J5" s="403" t="e">
        <f>'Detailed Results'!E41</f>
        <v>#VALUE!</v>
      </c>
    </row>
    <row r="6" spans="1:14">
      <c r="A6" s="276" t="s">
        <v>129</v>
      </c>
      <c r="B6" s="326">
        <f>B7</f>
        <v>0</v>
      </c>
      <c r="F6" s="400" t="s">
        <v>94</v>
      </c>
      <c r="G6" s="5"/>
      <c r="H6" s="5"/>
      <c r="I6" s="401">
        <f>'DairyBase dataset'!D34</f>
        <v>0</v>
      </c>
      <c r="J6" s="403">
        <f>'Detailed Results'!E45</f>
        <v>0</v>
      </c>
    </row>
    <row r="7" spans="1:14">
      <c r="A7" s="343" t="str">
        <f>'DairyBase dataset'!C10 &amp; " Milk price ($/kgMS)"</f>
        <v xml:space="preserve"> Milk price ($/kgMS)</v>
      </c>
      <c r="B7" s="344">
        <f>'DairyBase dataset'!F30</f>
        <v>0</v>
      </c>
      <c r="F7" s="404" t="s">
        <v>164</v>
      </c>
      <c r="G7" s="394"/>
      <c r="H7" s="394"/>
      <c r="I7" s="395">
        <f>I5-I6</f>
        <v>0</v>
      </c>
      <c r="J7" s="405" t="e">
        <f>J5-J6</f>
        <v>#VALUE!</v>
      </c>
    </row>
    <row r="8" spans="1:14">
      <c r="A8" s="276" t="s">
        <v>130</v>
      </c>
      <c r="B8" s="327">
        <f>B9</f>
        <v>0</v>
      </c>
      <c r="F8" s="406"/>
      <c r="G8" s="5" t="s">
        <v>207</v>
      </c>
      <c r="H8" s="5"/>
      <c r="I8" s="5"/>
      <c r="J8" s="407"/>
    </row>
    <row r="9" spans="1:14">
      <c r="A9" s="343" t="str">
        <f>'DairyBase dataset'!C10 &amp; " Fodder price ($/t)"</f>
        <v xml:space="preserve"> Fodder price ($/t)</v>
      </c>
      <c r="B9" s="345">
        <f>'DairyBase dataset'!D89*'Feed calculations'!E63</f>
        <v>0</v>
      </c>
      <c r="F9" s="404" t="s">
        <v>95</v>
      </c>
      <c r="G9" s="394"/>
      <c r="H9" s="394"/>
      <c r="I9" s="395">
        <f>'DairyBase dataset'!D35</f>
        <v>0</v>
      </c>
      <c r="J9" s="408" t="str">
        <f>IF((OR(B53&gt;=C330,B53&lt;=B330)),"",'Detailed Results'!E50)</f>
        <v/>
      </c>
    </row>
    <row r="10" spans="1:14">
      <c r="A10" s="276" t="s">
        <v>131</v>
      </c>
      <c r="B10" s="327">
        <f>B11</f>
        <v>0</v>
      </c>
      <c r="F10" s="406"/>
      <c r="G10" s="5" t="s">
        <v>206</v>
      </c>
      <c r="H10" s="5"/>
      <c r="I10" s="5"/>
      <c r="J10" s="407"/>
    </row>
    <row r="11" spans="1:14" ht="16" thickBot="1">
      <c r="A11" s="343" t="str">
        <f>'DairyBase dataset'!C10 &amp; " concentrate price ($/t)"</f>
        <v xml:space="preserve"> concentrate price ($/t)</v>
      </c>
      <c r="B11" s="345">
        <f>'DairyBase dataset'!D88*'Feed calculations'!E64</f>
        <v>0</v>
      </c>
      <c r="F11" s="409" t="s">
        <v>196</v>
      </c>
      <c r="G11" s="410"/>
      <c r="H11" s="410"/>
      <c r="I11" s="411">
        <f>'Detailed Results'!C53</f>
        <v>0</v>
      </c>
      <c r="J11" s="412" t="e">
        <f>'Detailed Results'!E53</f>
        <v>#VALUE!</v>
      </c>
    </row>
    <row r="12" spans="1:14" ht="16" thickBot="1">
      <c r="A12" s="276" t="s">
        <v>209</v>
      </c>
      <c r="B12" s="328">
        <v>1</v>
      </c>
      <c r="L12" s="66"/>
    </row>
    <row r="13" spans="1:14" ht="16">
      <c r="A13" s="276" t="s">
        <v>163</v>
      </c>
      <c r="B13" s="328">
        <v>0</v>
      </c>
      <c r="F13" s="396" t="s">
        <v>177</v>
      </c>
      <c r="G13" s="413"/>
      <c r="H13" s="413"/>
      <c r="I13" s="414">
        <f>'DairyBase dataset'!C10</f>
        <v>0</v>
      </c>
      <c r="J13" s="399" t="s">
        <v>15</v>
      </c>
      <c r="L13" s="66"/>
    </row>
    <row r="14" spans="1:14">
      <c r="A14" s="276" t="s">
        <v>132</v>
      </c>
      <c r="B14" s="327">
        <v>200</v>
      </c>
      <c r="F14" s="415"/>
      <c r="G14" s="54"/>
      <c r="H14" s="54"/>
      <c r="I14" s="416" t="s">
        <v>178</v>
      </c>
      <c r="J14" s="417" t="s">
        <v>178</v>
      </c>
    </row>
    <row r="15" spans="1:14">
      <c r="F15" s="400" t="s">
        <v>97</v>
      </c>
      <c r="G15" s="5"/>
      <c r="H15" s="5"/>
      <c r="I15" s="81" t="e">
        <f>'DairyBase dataset'!G72/'DairyBase dataset'!D58</f>
        <v>#DIV/0!</v>
      </c>
      <c r="J15" s="418" t="e">
        <f>'Feed calculations'!C51</f>
        <v>#DIV/0!</v>
      </c>
      <c r="K15" s="376" t="s">
        <v>194</v>
      </c>
    </row>
    <row r="16" spans="1:14">
      <c r="A16" s="295" t="s">
        <v>136</v>
      </c>
      <c r="B16" s="279" t="s">
        <v>6</v>
      </c>
      <c r="C16" s="280" t="s">
        <v>128</v>
      </c>
      <c r="D16" s="4"/>
      <c r="F16" s="400" t="s">
        <v>99</v>
      </c>
      <c r="G16" s="5"/>
      <c r="H16" s="5"/>
      <c r="I16" s="81">
        <f>'DairyBase dataset'!F77</f>
        <v>0</v>
      </c>
      <c r="J16" s="418" t="e">
        <f>'Feed calculations'!C52</f>
        <v>#DIV/0!</v>
      </c>
    </row>
    <row r="17" spans="1:10">
      <c r="A17" s="272" t="s">
        <v>133</v>
      </c>
      <c r="B17" s="6" t="s">
        <v>8</v>
      </c>
      <c r="C17" s="2">
        <v>0</v>
      </c>
      <c r="F17" s="400" t="s">
        <v>100</v>
      </c>
      <c r="G17" s="5"/>
      <c r="H17" s="5"/>
      <c r="I17" s="81">
        <f>'DairyBase dataset'!F78</f>
        <v>0</v>
      </c>
      <c r="J17" s="418" t="e">
        <f>'Feed calculations'!B63</f>
        <v>#DIV/0!</v>
      </c>
    </row>
    <row r="18" spans="1:10">
      <c r="A18" s="272"/>
      <c r="B18" s="6" t="s">
        <v>123</v>
      </c>
      <c r="C18" s="329">
        <v>0</v>
      </c>
      <c r="F18" s="400" t="s">
        <v>101</v>
      </c>
      <c r="G18" s="419"/>
      <c r="H18" s="5"/>
      <c r="I18" s="81">
        <f>'DairyBase dataset'!F80</f>
        <v>0</v>
      </c>
      <c r="J18" s="418" t="e">
        <f>'Feed calculations'!B64</f>
        <v>#DIV/0!</v>
      </c>
    </row>
    <row r="19" spans="1:10">
      <c r="A19" s="272"/>
      <c r="B19" s="7" t="s">
        <v>7</v>
      </c>
      <c r="E19" s="66"/>
      <c r="F19" s="406" t="s">
        <v>208</v>
      </c>
      <c r="G19" s="5"/>
      <c r="H19" s="5"/>
      <c r="I19" s="5"/>
      <c r="J19" s="418" t="e">
        <f>(B39+B40)/B50</f>
        <v>#DIV/0!</v>
      </c>
    </row>
    <row r="20" spans="1:10" ht="16" thickBot="1">
      <c r="A20" s="272" t="s">
        <v>126</v>
      </c>
      <c r="B20" s="275">
        <v>0</v>
      </c>
      <c r="C20" s="4"/>
      <c r="D20" s="4"/>
      <c r="F20" s="420" t="s">
        <v>102</v>
      </c>
      <c r="G20" s="421"/>
      <c r="H20" s="422"/>
      <c r="I20" s="423" t="e">
        <f>SUM(I15:I18)</f>
        <v>#DIV/0!</v>
      </c>
      <c r="J20" s="424" t="e">
        <f>SUM(J15:J19)</f>
        <v>#DIV/0!</v>
      </c>
    </row>
    <row r="21" spans="1:10" ht="17" thickBot="1">
      <c r="A21" s="282" t="s">
        <v>127</v>
      </c>
      <c r="B21" s="275">
        <v>0</v>
      </c>
      <c r="C21" s="4"/>
      <c r="D21" s="4"/>
    </row>
    <row r="22" spans="1:10" ht="16">
      <c r="A22" s="282" t="s">
        <v>191</v>
      </c>
      <c r="B22" s="2">
        <v>0</v>
      </c>
      <c r="C22" s="277"/>
      <c r="D22" s="277"/>
      <c r="F22" s="425" t="s">
        <v>205</v>
      </c>
      <c r="G22" s="397"/>
      <c r="H22" s="397"/>
      <c r="I22" s="398">
        <f>'DairyBase dataset'!C10</f>
        <v>0</v>
      </c>
      <c r="J22" s="399" t="s">
        <v>15</v>
      </c>
    </row>
    <row r="23" spans="1:10">
      <c r="A23" s="272" t="s">
        <v>9</v>
      </c>
      <c r="B23" s="2">
        <v>0</v>
      </c>
      <c r="C23" s="277"/>
      <c r="D23" s="277"/>
      <c r="F23" s="415"/>
      <c r="G23" s="426"/>
      <c r="H23" s="54"/>
      <c r="I23" s="427" t="s">
        <v>201</v>
      </c>
      <c r="J23" s="428" t="s">
        <v>201</v>
      </c>
    </row>
    <row r="24" spans="1:10">
      <c r="A24" s="272" t="s">
        <v>190</v>
      </c>
      <c r="B24" s="2">
        <v>0</v>
      </c>
      <c r="C24" s="371"/>
      <c r="D24" s="277"/>
      <c r="F24" s="400" t="s">
        <v>65</v>
      </c>
      <c r="G24" s="5"/>
      <c r="H24" s="5"/>
      <c r="I24" s="434">
        <f>N1</f>
        <v>0</v>
      </c>
      <c r="J24" s="429" t="e">
        <f>'Feed calculations'!C63+'Feed calculations'!H10</f>
        <v>#DIV/0!</v>
      </c>
    </row>
    <row r="25" spans="1:10">
      <c r="A25" s="272" t="s">
        <v>140</v>
      </c>
      <c r="B25" s="8">
        <f>(C17*B12)+(C18*B13)+(B22-B23)+(B20-B21)+B24</f>
        <v>0</v>
      </c>
      <c r="C25" s="371" t="s">
        <v>192</v>
      </c>
      <c r="D25" s="9"/>
      <c r="E25" s="66"/>
      <c r="F25" s="400" t="s">
        <v>66</v>
      </c>
      <c r="G25" s="5"/>
      <c r="H25" s="5"/>
      <c r="I25" s="430">
        <f>'DairyBase dataset'!D80</f>
        <v>0</v>
      </c>
      <c r="J25" s="429" t="e">
        <f>'Feed calculations'!C64</f>
        <v>#DIV/0!</v>
      </c>
    </row>
    <row r="26" spans="1:10" ht="16" thickBot="1">
      <c r="A26" s="372" t="str">
        <f>'DairyBase dataset'!C10 &amp; " irrigation water used"</f>
        <v xml:space="preserve"> irrigation water used</v>
      </c>
      <c r="B26" s="373">
        <f>'DairyBase dataset'!D100</f>
        <v>0</v>
      </c>
      <c r="C26" s="5"/>
      <c r="D26" s="5"/>
      <c r="E26" s="66"/>
      <c r="F26" s="420" t="s">
        <v>1</v>
      </c>
      <c r="G26" s="431"/>
      <c r="H26" s="431"/>
      <c r="I26" s="432">
        <f>SUM(I24:I25)</f>
        <v>0</v>
      </c>
      <c r="J26" s="433" t="e">
        <f>SUM(J24:J25)</f>
        <v>#DIV/0!</v>
      </c>
    </row>
    <row r="27" spans="1:10">
      <c r="A27" s="276" t="s">
        <v>10</v>
      </c>
      <c r="B27" s="311">
        <f>B28</f>
        <v>0</v>
      </c>
      <c r="C27" s="66"/>
      <c r="D27" s="66"/>
    </row>
    <row r="28" spans="1:10">
      <c r="A28" s="343" t="str">
        <f>'DairyBase dataset'!C10 &amp; " annual rainfall"</f>
        <v xml:space="preserve"> annual rainfall</v>
      </c>
      <c r="B28" s="346">
        <f>'DairyBase dataset'!D102</f>
        <v>0</v>
      </c>
      <c r="C28" s="66"/>
      <c r="D28" s="66"/>
    </row>
    <row r="29" spans="1:10">
      <c r="A29" s="75" t="s">
        <v>106</v>
      </c>
      <c r="B29" s="51"/>
      <c r="C29" s="51"/>
    </row>
    <row r="30" spans="1:10">
      <c r="A30" s="272" t="s">
        <v>83</v>
      </c>
      <c r="B30" s="370"/>
    </row>
    <row r="31" spans="1:10">
      <c r="A31" s="281" t="s">
        <v>107</v>
      </c>
      <c r="B31" s="330">
        <f>B32</f>
        <v>0</v>
      </c>
      <c r="E31" s="66" t="str">
        <f>IF((OR(B31&gt;=C335,B31&lt;=B335)),"TOO MUCH CHANGE IN WATER USE EFFICIENCY. Re-enter a number","")</f>
        <v>TOO MUCH CHANGE IN WATER USE EFFICIENCY. Re-enter a number</v>
      </c>
    </row>
    <row r="32" spans="1:10">
      <c r="A32" s="67" t="str">
        <f>'DairyBase dataset'!C10 &amp; " WUE"</f>
        <v xml:space="preserve"> WUE</v>
      </c>
      <c r="B32" s="309">
        <f>'DairyBase dataset'!D104</f>
        <v>0</v>
      </c>
    </row>
    <row r="33" spans="1:7">
      <c r="A33" s="276" t="s">
        <v>204</v>
      </c>
      <c r="B33" s="310" t="e">
        <f>'Feed calculations'!B53</f>
        <v>#DIV/0!</v>
      </c>
    </row>
    <row r="34" spans="1:7">
      <c r="A34" s="67" t="str">
        <f>'DairyBase dataset'!C10 &amp; "feed utilised /ha"</f>
        <v>feed utilised /ha</v>
      </c>
      <c r="B34" s="309">
        <f>'DairyBase dataset'!F74</f>
        <v>0</v>
      </c>
    </row>
    <row r="35" spans="1:7">
      <c r="A35" s="278" t="s">
        <v>203</v>
      </c>
      <c r="B35" s="51"/>
      <c r="C35" s="51"/>
    </row>
    <row r="36" spans="1:7">
      <c r="A36" s="276" t="s">
        <v>202</v>
      </c>
      <c r="B36" s="384" t="e">
        <f>B37</f>
        <v>#DIV/0!</v>
      </c>
    </row>
    <row r="37" spans="1:7">
      <c r="A37" s="382">
        <f>'DairyBase dataset'!C10</f>
        <v>0</v>
      </c>
      <c r="B37" s="381" t="e">
        <f>IF(OR(('DairyBase dataset'!$D$77/'DairyBase dataset'!$G$73)&lt;0, ('DairyBase dataset'!$D$77/'DairyBase dataset'!$G$73)&gt;1),1,'DairyBase dataset'!$D$77/'DairyBase dataset'!$G$73)</f>
        <v>#DIV/0!</v>
      </c>
    </row>
    <row r="38" spans="1:7">
      <c r="A38" s="75" t="s">
        <v>159</v>
      </c>
      <c r="B38" s="342"/>
      <c r="C38" s="51"/>
    </row>
    <row r="39" spans="1:7">
      <c r="A39" s="276" t="s">
        <v>160</v>
      </c>
      <c r="B39" s="388">
        <v>0</v>
      </c>
      <c r="C39" s="1" t="s">
        <v>193</v>
      </c>
    </row>
    <row r="40" spans="1:7">
      <c r="A40" s="276" t="s">
        <v>161</v>
      </c>
      <c r="B40" s="388">
        <v>0</v>
      </c>
      <c r="C40" s="1" t="s">
        <v>193</v>
      </c>
      <c r="G40" s="349"/>
    </row>
    <row r="41" spans="1:7">
      <c r="A41" s="276"/>
      <c r="B41" s="374"/>
      <c r="G41" s="349"/>
    </row>
    <row r="42" spans="1:7">
      <c r="A42" s="75" t="s">
        <v>199</v>
      </c>
      <c r="B42" s="378"/>
      <c r="C42" s="51"/>
      <c r="G42" s="349"/>
    </row>
    <row r="43" spans="1:7">
      <c r="A43" s="276" t="s">
        <v>195</v>
      </c>
      <c r="B43" s="385">
        <f>B44</f>
        <v>0</v>
      </c>
      <c r="C43" s="1" t="s">
        <v>178</v>
      </c>
      <c r="D43" s="376" t="s">
        <v>194</v>
      </c>
      <c r="G43" s="349"/>
    </row>
    <row r="44" spans="1:7">
      <c r="A44" s="343" t="str">
        <f>'DairyBase dataset'!C10 &amp; " concentrate fed"</f>
        <v xml:space="preserve"> concentrate fed</v>
      </c>
      <c r="B44" s="379">
        <f>'DairyBase dataset'!F80+'DairyBase dataset'!F79</f>
        <v>0</v>
      </c>
      <c r="C44" s="375" t="s">
        <v>178</v>
      </c>
    </row>
    <row r="45" spans="1:7">
      <c r="A45" s="278" t="s">
        <v>137</v>
      </c>
      <c r="B45" s="51"/>
      <c r="C45" s="51"/>
    </row>
    <row r="46" spans="1:7">
      <c r="A46" s="1" t="str">
        <f>"(Land area can't change more than 10% from " &amp; 'DairyBase dataset'!C10 &amp;")"</f>
        <v>(Land area can't change more than 10% from )</v>
      </c>
    </row>
    <row r="47" spans="1:7">
      <c r="A47" s="276" t="s">
        <v>121</v>
      </c>
      <c r="B47" s="331">
        <f>B48</f>
        <v>0</v>
      </c>
      <c r="C47" s="284" t="s">
        <v>124</v>
      </c>
      <c r="D47" s="284"/>
      <c r="E47" s="66" t="str">
        <f>IF((OR(B47&gt;=C339,B47&lt;=B339)),"TOO MUCH CHANGE IN LAND AREA. Re-enter a number","")</f>
        <v>TOO MUCH CHANGE IN LAND AREA. Re-enter a number</v>
      </c>
    </row>
    <row r="48" spans="1:7">
      <c r="A48" s="67" t="str">
        <f>'DairyBase dataset'!C10 &amp; " useable area"</f>
        <v xml:space="preserve"> useable area</v>
      </c>
      <c r="B48" s="70">
        <f>'DairyBase dataset'!D53</f>
        <v>0</v>
      </c>
    </row>
    <row r="49" spans="1:5">
      <c r="A49" s="1" t="str">
        <f>"(Milking herd size can't change more than 10% from " &amp; 'DairyBase dataset'!C10 &amp;")"</f>
        <v>(Milking herd size can't change more than 10% from )</v>
      </c>
    </row>
    <row r="50" spans="1:5">
      <c r="A50" s="270" t="s">
        <v>0</v>
      </c>
      <c r="B50" s="283">
        <f>B51</f>
        <v>0</v>
      </c>
      <c r="C50" s="284" t="s">
        <v>125</v>
      </c>
      <c r="D50" s="284"/>
      <c r="E50" s="66" t="str">
        <f>IF((OR(B50&gt;=C325,B50&lt;=B325)),"TOO MUCH CHANGE IN HERD SIZE. Re-enter a number","")</f>
        <v>TOO MUCH CHANGE IN HERD SIZE. Re-enter a number</v>
      </c>
    </row>
    <row r="51" spans="1:5">
      <c r="A51" s="69" t="str">
        <f>'DairyBase dataset'!C10 &amp; " herd size"</f>
        <v xml:space="preserve"> herd size</v>
      </c>
      <c r="B51" s="70">
        <f>'DairyBase dataset'!D58</f>
        <v>0</v>
      </c>
    </row>
    <row r="52" spans="1:5">
      <c r="A52" s="284" t="str">
        <f>"(Milk production can't change more than 10% from " &amp; 'DairyBase dataset'!C10 &amp;")"</f>
        <v>(Milk production can't change more than 10% from )</v>
      </c>
      <c r="B52" s="34"/>
    </row>
    <row r="53" spans="1:5">
      <c r="A53" s="270" t="s">
        <v>114</v>
      </c>
      <c r="B53" s="332">
        <f>B54</f>
        <v>0</v>
      </c>
      <c r="C53" s="285" t="s">
        <v>2</v>
      </c>
      <c r="D53" s="285"/>
      <c r="E53" s="66" t="str">
        <f>IF((OR(B53&gt;=C330,B53&lt;=B330)),"TOO MUCH CHANGE IN MILK PRODUCTION. Re-enter a number","")</f>
        <v>TOO MUCH CHANGE IN MILK PRODUCTION. Re-enter a number</v>
      </c>
    </row>
    <row r="54" spans="1:5">
      <c r="A54" s="67" t="str">
        <f>'DairyBase dataset'!C10 &amp; " milk production"</f>
        <v xml:space="preserve"> milk production</v>
      </c>
      <c r="B54" s="68">
        <f>ROUND('DairyBase dataset'!E67, 0)</f>
        <v>0</v>
      </c>
      <c r="C54" s="287" t="s">
        <v>2</v>
      </c>
      <c r="D54" s="287"/>
    </row>
    <row r="55" spans="1:5">
      <c r="B55" s="333" t="str">
        <f>IF((OR(B50&gt;=C325,B50&lt;=B325)),"",(B53*B50))</f>
        <v/>
      </c>
      <c r="C55" s="286" t="s">
        <v>3</v>
      </c>
      <c r="D55" s="286"/>
    </row>
    <row r="57" spans="1:5" ht="21">
      <c r="A57" s="55" t="s">
        <v>110</v>
      </c>
      <c r="B57" s="51"/>
      <c r="C57" s="51"/>
    </row>
    <row r="58" spans="1:5" ht="21">
      <c r="A58" s="56" t="s">
        <v>108</v>
      </c>
    </row>
    <row r="59" spans="1:5" ht="21">
      <c r="A59" s="57" t="s">
        <v>111</v>
      </c>
    </row>
    <row r="60" spans="1:5" ht="21">
      <c r="A60" s="57" t="s">
        <v>109</v>
      </c>
    </row>
    <row r="61" spans="1:5" ht="21">
      <c r="A61" s="57" t="s">
        <v>112</v>
      </c>
    </row>
    <row r="323" spans="1:4">
      <c r="A323" s="1" t="s">
        <v>11</v>
      </c>
      <c r="B323" s="10">
        <v>0.1</v>
      </c>
    </row>
    <row r="324" spans="1:4">
      <c r="B324" s="34" t="s">
        <v>12</v>
      </c>
      <c r="C324" s="34" t="s">
        <v>13</v>
      </c>
      <c r="D324" s="34"/>
    </row>
    <row r="325" spans="1:4">
      <c r="A325" s="1" t="s">
        <v>14</v>
      </c>
      <c r="B325" s="34">
        <f>(1-B323)*'DairyBase dataset'!$D$19</f>
        <v>0</v>
      </c>
      <c r="C325" s="34">
        <f>(1+B323)*'DairyBase dataset'!$D$19</f>
        <v>0</v>
      </c>
      <c r="D325" s="34"/>
    </row>
    <row r="328" spans="1:4">
      <c r="B328" s="268">
        <v>0.1</v>
      </c>
    </row>
    <row r="329" spans="1:4">
      <c r="A329" s="1" t="s">
        <v>119</v>
      </c>
      <c r="B329" s="1" t="s">
        <v>120</v>
      </c>
      <c r="C329" s="1" t="s">
        <v>13</v>
      </c>
    </row>
    <row r="330" spans="1:4">
      <c r="B330" s="34">
        <f>(1-B328)*$B$54</f>
        <v>0</v>
      </c>
      <c r="C330" s="34">
        <f>(1+B328)*$B$54</f>
        <v>0</v>
      </c>
      <c r="D330" s="34"/>
    </row>
    <row r="333" spans="1:4">
      <c r="B333" s="268">
        <v>0.1</v>
      </c>
    </row>
    <row r="334" spans="1:4">
      <c r="A334" s="1" t="s">
        <v>156</v>
      </c>
      <c r="B334" s="1" t="s">
        <v>120</v>
      </c>
      <c r="C334" s="1" t="s">
        <v>13</v>
      </c>
    </row>
    <row r="335" spans="1:4">
      <c r="B335" s="34">
        <f>(1-B333)*$B$32</f>
        <v>0</v>
      </c>
      <c r="C335" s="34">
        <f>(1+B333)*$B$32</f>
        <v>0</v>
      </c>
      <c r="D335" s="34"/>
    </row>
    <row r="337" spans="1:4">
      <c r="B337" s="268">
        <v>0.1</v>
      </c>
    </row>
    <row r="338" spans="1:4">
      <c r="A338" s="1" t="s">
        <v>155</v>
      </c>
      <c r="B338" s="1" t="s">
        <v>120</v>
      </c>
      <c r="C338" s="1" t="s">
        <v>13</v>
      </c>
    </row>
    <row r="339" spans="1:4">
      <c r="B339" s="34">
        <f>(1-B337)*$B$48</f>
        <v>0</v>
      </c>
      <c r="C339" s="34">
        <f>(1+B337)*$B$48</f>
        <v>0</v>
      </c>
      <c r="D339" s="34"/>
    </row>
  </sheetData>
  <sheetProtection algorithmName="SHA-512" hashValue="DHdjyeMHnCMs/zKI7xRYaBPsusIITOc/avmDJud005D+Eyz22ia8YsIx1SdGYnvXPlhIpszdP5PBRcEJ2U/FBA==" saltValue="0a229ngUXo3L8qDw4c5gaQ==" spinCount="100000" sheet="1" objects="1" scenarios="1"/>
  <mergeCells count="1">
    <mergeCell ref="B2:C3"/>
  </mergeCells>
  <conditionalFormatting sqref="B50">
    <cfRule type="cellIs" dxfId="45" priority="49" operator="lessThanOrEqual">
      <formula>$B$325</formula>
    </cfRule>
    <cfRule type="cellIs" dxfId="44" priority="50" operator="greaterThanOrEqual">
      <formula>$C$325</formula>
    </cfRule>
  </conditionalFormatting>
  <conditionalFormatting sqref="I9:J9">
    <cfRule type="cellIs" dxfId="43" priority="48" operator="lessThan">
      <formula>0</formula>
    </cfRule>
  </conditionalFormatting>
  <conditionalFormatting sqref="I5">
    <cfRule type="cellIs" dxfId="42" priority="47" operator="lessThan">
      <formula>0</formula>
    </cfRule>
  </conditionalFormatting>
  <conditionalFormatting sqref="J5">
    <cfRule type="cellIs" dxfId="41" priority="44" operator="lessThan">
      <formula>0</formula>
    </cfRule>
  </conditionalFormatting>
  <conditionalFormatting sqref="B53">
    <cfRule type="cellIs" dxfId="40" priority="42" operator="lessThanOrEqual">
      <formula>$B$330</formula>
    </cfRule>
    <cfRule type="cellIs" dxfId="39" priority="43" operator="greaterThanOrEqual">
      <formula>$C$330</formula>
    </cfRule>
  </conditionalFormatting>
  <conditionalFormatting sqref="B31">
    <cfRule type="cellIs" dxfId="38" priority="40" operator="lessThan">
      <formula>$B$335</formula>
    </cfRule>
    <cfRule type="cellIs" dxfId="37" priority="41" operator="greaterThan">
      <formula>$C$335</formula>
    </cfRule>
  </conditionalFormatting>
  <conditionalFormatting sqref="B47">
    <cfRule type="expression" dxfId="36" priority="29">
      <formula>$E$47="TOO MUCH CHANGE IN LAND AREA. Re-enter a number"</formula>
    </cfRule>
    <cfRule type="cellIs" dxfId="35" priority="36" operator="greaterThan">
      <formula>$C$339</formula>
    </cfRule>
    <cfRule type="cellIs" dxfId="34" priority="37" operator="lessThan">
      <formula>$B$339</formula>
    </cfRule>
  </conditionalFormatting>
  <conditionalFormatting sqref="J2:J6">
    <cfRule type="expression" dxfId="33" priority="52">
      <formula>IF((OR(B53&gt;=C330,B53&lt;=B330)),"TOO MUCH CHANGE IN MILK PRODUCTION. Re-enter a number","")</formula>
    </cfRule>
  </conditionalFormatting>
  <conditionalFormatting sqref="J9">
    <cfRule type="expression" dxfId="32" priority="54">
      <formula>IF((OR(B58&gt;=C335,B58&lt;=B335)),"TOO MUCH CHANGE IN MILK PRODUCTION. Re-enter a number","")</formula>
    </cfRule>
  </conditionalFormatting>
  <conditionalFormatting sqref="I7:J7">
    <cfRule type="cellIs" dxfId="31" priority="35" operator="lessThan">
      <formula>0</formula>
    </cfRule>
  </conditionalFormatting>
  <conditionalFormatting sqref="J22 J1:J7 J9 J13:J18 J20">
    <cfRule type="expression" dxfId="30" priority="25">
      <formula>$B$43&gt;3</formula>
    </cfRule>
    <cfRule type="expression" dxfId="29" priority="30">
      <formula>$E$47="TOO MUCH CHANGE IN LAND AREA. Re-enter a number"</formula>
    </cfRule>
    <cfRule type="expression" dxfId="28" priority="31">
      <formula>$E$31="TOO MUCH CHANGE IN WATER USE EFFICIENCY. Re-enter a number"</formula>
    </cfRule>
    <cfRule type="expression" dxfId="27" priority="32">
      <formula>$E$50="TOO MUCH CHANGE IN HERD SIZE. Re-enter a number"</formula>
    </cfRule>
    <cfRule type="expression" dxfId="26" priority="33">
      <formula>$E$53="TOO MUCH CHANGE IN MILK PRODUCTION. Re-enter a number"</formula>
    </cfRule>
  </conditionalFormatting>
  <conditionalFormatting sqref="C24:C25">
    <cfRule type="expression" dxfId="25" priority="28">
      <formula>$B$25=$B$26</formula>
    </cfRule>
  </conditionalFormatting>
  <conditionalFormatting sqref="C25">
    <cfRule type="expression" dxfId="24" priority="27">
      <formula>$B$25&gt;0</formula>
    </cfRule>
  </conditionalFormatting>
  <conditionalFormatting sqref="B43">
    <cfRule type="expression" dxfId="23" priority="26">
      <formula>$B$43&gt;3</formula>
    </cfRule>
  </conditionalFormatting>
  <conditionalFormatting sqref="D43">
    <cfRule type="expression" dxfId="22" priority="24">
      <formula>$B$43&lt;=2.5</formula>
    </cfRule>
  </conditionalFormatting>
  <conditionalFormatting sqref="K15">
    <cfRule type="expression" dxfId="21" priority="23">
      <formula>$B$43&lt;=2.5</formula>
    </cfRule>
  </conditionalFormatting>
  <conditionalFormatting sqref="I11">
    <cfRule type="cellIs" dxfId="20" priority="22" operator="lessThan">
      <formula>0</formula>
    </cfRule>
  </conditionalFormatting>
  <conditionalFormatting sqref="J11">
    <cfRule type="expression" dxfId="19" priority="17">
      <formula>$E$53="TOO MUCH CHANGE IN MILK PRODUCTION. Re-enter a number"</formula>
    </cfRule>
    <cfRule type="expression" dxfId="18" priority="18">
      <formula>$E$50="TOO MUCH CHANGE IN HERD SIZE. Re-enter a number"</formula>
    </cfRule>
    <cfRule type="expression" dxfId="17" priority="19">
      <formula>$E$47="TOO MUCH CHANGE IN LAND AREA. Re-enter a number"</formula>
    </cfRule>
    <cfRule type="expression" dxfId="16" priority="20">
      <formula>$E$31="TOO MUCH CHANGE IN WATER USE EFFICIENCY. Re-enter a number"</formula>
    </cfRule>
    <cfRule type="cellIs" dxfId="15" priority="21" operator="lessThan">
      <formula>0</formula>
    </cfRule>
  </conditionalFormatting>
  <conditionalFormatting sqref="F24:F26">
    <cfRule type="expression" dxfId="14" priority="6">
      <formula>$H$62&gt;0</formula>
    </cfRule>
  </conditionalFormatting>
  <conditionalFormatting sqref="J19">
    <cfRule type="expression" dxfId="13" priority="1">
      <formula>$B$43&gt;3</formula>
    </cfRule>
    <cfRule type="expression" dxfId="12" priority="2">
      <formula>$E$47="TOO MUCH CHANGE IN LAND AREA. Re-enter a number"</formula>
    </cfRule>
    <cfRule type="expression" dxfId="11" priority="3">
      <formula>$E$31="TOO MUCH CHANGE IN WATER USE EFFICIENCY. Re-enter a number"</formula>
    </cfRule>
    <cfRule type="expression" dxfId="10" priority="4">
      <formula>$E$50="TOO MUCH CHANGE IN HERD SIZE. Re-enter a number"</formula>
    </cfRule>
    <cfRule type="expression" dxfId="9" priority="5">
      <formula>$E$53="TOO MUCH CHANGE IN MILK PRODUCTION. Re-enter a number"</formula>
    </cfRule>
  </conditionalFormatting>
  <hyperlinks>
    <hyperlink ref="A58" location="'DB data'!A1" display="DairyBase data" xr:uid="{00000000-0004-0000-0100-000000000000}"/>
    <hyperlink ref="A59" location="'Forecast inputs'!A1" display="Forecast inputs" xr:uid="{00000000-0004-0000-0100-000001000000}"/>
    <hyperlink ref="A60" location="'Feed calculations'!A1" display="Feed calculations" xr:uid="{00000000-0004-0000-0100-000002000000}"/>
    <hyperlink ref="A61" location="'Detailed Results'!A1" display="Detailed Results" xr:uid="{00000000-0004-0000-0100-000003000000}"/>
  </hyperlinks>
  <pageMargins left="0.7" right="0.7" top="0.75" bottom="0.75" header="0.3" footer="0.3"/>
  <pageSetup paperSize="9" orientation="portrait" horizontalDpi="0" verticalDpi="0"/>
  <ignoredErrors>
    <ignoredError sqref="B11 B28" unlockedFormula="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T113"/>
  <sheetViews>
    <sheetView topLeftCell="A6" zoomScale="90" zoomScaleNormal="90" workbookViewId="0">
      <selection activeCell="I14" sqref="I14"/>
    </sheetView>
  </sheetViews>
  <sheetFormatPr baseColWidth="10" defaultRowHeight="13"/>
  <cols>
    <col min="1" max="1" width="39.83203125" style="11" customWidth="1"/>
    <col min="2" max="2" width="17.5" style="11" customWidth="1"/>
    <col min="3" max="3" width="13.5" style="11" bestFit="1" customWidth="1"/>
    <col min="4" max="4" width="12.5" style="11" customWidth="1"/>
    <col min="5" max="5" width="8.5" style="11" customWidth="1"/>
    <col min="6" max="6" width="15.6640625" style="11" customWidth="1"/>
    <col min="7" max="7" width="23.5" style="11" customWidth="1"/>
    <col min="8" max="8" width="16.83203125" style="11" customWidth="1"/>
    <col min="9" max="10" width="13.33203125" style="11" customWidth="1"/>
    <col min="11" max="11" width="11.1640625" style="11" customWidth="1"/>
    <col min="12" max="14" width="10.83203125" style="11"/>
    <col min="15" max="15" width="8.5" style="11" customWidth="1"/>
    <col min="16" max="16" width="10.83203125" style="11"/>
    <col min="17" max="17" width="13.33203125" style="11" customWidth="1"/>
    <col min="18" max="16384" width="10.83203125" style="11"/>
  </cols>
  <sheetData>
    <row r="1" spans="1:18" ht="20">
      <c r="A1" s="63" t="s">
        <v>113</v>
      </c>
      <c r="B1" s="15"/>
      <c r="C1" s="15"/>
      <c r="D1" s="15"/>
      <c r="E1" s="15"/>
      <c r="F1" s="15"/>
      <c r="G1" s="15"/>
      <c r="H1" s="15"/>
      <c r="I1" s="15"/>
      <c r="J1" s="15"/>
    </row>
    <row r="2" spans="1:18" ht="16">
      <c r="A2" s="64" t="str">
        <f>'DairyBase dataset'!C10 &amp; " " &amp; "pasture production and feed requirements"</f>
        <v xml:space="preserve"> pasture production and feed requirements</v>
      </c>
      <c r="B2" s="58"/>
      <c r="C2" s="58"/>
      <c r="D2" s="58"/>
      <c r="E2" s="58"/>
      <c r="F2" s="58"/>
      <c r="G2" s="61"/>
      <c r="H2" s="61"/>
      <c r="I2" s="61"/>
      <c r="J2" s="61"/>
      <c r="N2" s="53"/>
    </row>
    <row r="3" spans="1:18" ht="15">
      <c r="A3" s="46"/>
      <c r="B3" s="47" t="s">
        <v>62</v>
      </c>
      <c r="C3" s="47" t="s">
        <v>63</v>
      </c>
      <c r="D3" s="266"/>
      <c r="N3" s="1"/>
    </row>
    <row r="4" spans="1:18" ht="15">
      <c r="A4" s="48" t="s">
        <v>118</v>
      </c>
      <c r="B4" s="49" t="e">
        <f>B15</f>
        <v>#DIV/0!</v>
      </c>
      <c r="C4" s="50">
        <f>C15</f>
        <v>0</v>
      </c>
      <c r="E4" s="5"/>
      <c r="N4" s="1"/>
      <c r="R4" s="269"/>
    </row>
    <row r="5" spans="1:18" ht="15">
      <c r="A5" s="5"/>
      <c r="E5" s="5"/>
      <c r="F5" s="18" t="s">
        <v>151</v>
      </c>
      <c r="G5" s="297"/>
      <c r="H5" s="21"/>
      <c r="I5" s="17"/>
      <c r="J5" s="17"/>
      <c r="N5" s="1"/>
    </row>
    <row r="6" spans="1:18" ht="15">
      <c r="A6" s="365" t="s">
        <v>61</v>
      </c>
      <c r="B6" s="19" t="s">
        <v>62</v>
      </c>
      <c r="C6" s="19" t="s">
        <v>63</v>
      </c>
      <c r="E6" s="17"/>
      <c r="F6" s="11" t="s">
        <v>146</v>
      </c>
      <c r="H6" s="306">
        <f>'DairyBase dataset'!D127</f>
        <v>0</v>
      </c>
    </row>
    <row r="7" spans="1:18" ht="15">
      <c r="A7" s="272" t="s">
        <v>61</v>
      </c>
      <c r="B7" s="20" t="e">
        <f>C7/'DairyBase dataset'!$D$58</f>
        <v>#DIV/0!</v>
      </c>
      <c r="C7" s="21">
        <f>'DairyBase dataset'!G72</f>
        <v>0</v>
      </c>
      <c r="D7" s="22"/>
      <c r="E7" s="17"/>
      <c r="F7" s="5" t="s">
        <v>147</v>
      </c>
      <c r="H7" s="307">
        <f>'DairyBase dataset'!D80*'DairyBase dataset'!D88</f>
        <v>0</v>
      </c>
    </row>
    <row r="8" spans="1:18" ht="15">
      <c r="A8" s="365" t="s">
        <v>64</v>
      </c>
      <c r="B8" s="20"/>
      <c r="C8" s="21"/>
      <c r="D8" s="22"/>
      <c r="E8" s="17"/>
      <c r="F8" s="5" t="s">
        <v>148</v>
      </c>
      <c r="H8" s="307">
        <f>H6-H7</f>
        <v>0</v>
      </c>
    </row>
    <row r="9" spans="1:18" ht="17" customHeight="1">
      <c r="A9" s="272" t="s">
        <v>154</v>
      </c>
      <c r="B9" s="20" t="e">
        <f>C9/'DairyBase dataset'!$D$58</f>
        <v>#DIV/0!</v>
      </c>
      <c r="C9" s="21">
        <f>'DairyBase dataset'!D78</f>
        <v>0</v>
      </c>
      <c r="F9" s="5" t="s">
        <v>149</v>
      </c>
      <c r="H9" s="20">
        <f>'Forecast inputs'!I24</f>
        <v>0</v>
      </c>
      <c r="J9" s="389"/>
      <c r="P9" s="269"/>
    </row>
    <row r="10" spans="1:18" ht="15">
      <c r="A10" s="272" t="s">
        <v>66</v>
      </c>
      <c r="B10" s="20" t="e">
        <f>C10/'DairyBase dataset'!$D$58</f>
        <v>#DIV/0!</v>
      </c>
      <c r="C10" s="21">
        <f>'DairyBase dataset'!D80</f>
        <v>0</v>
      </c>
      <c r="F10" s="5" t="s">
        <v>150</v>
      </c>
      <c r="H10" s="20">
        <f>IFERROR((H9-'DairyBase dataset'!D78),0)</f>
        <v>0</v>
      </c>
      <c r="J10" s="389"/>
    </row>
    <row r="11" spans="1:18" ht="15">
      <c r="A11" s="272" t="s">
        <v>152</v>
      </c>
      <c r="B11" s="20" t="e">
        <f>C11/'DairyBase dataset'!$D$58</f>
        <v>#DIV/0!</v>
      </c>
      <c r="C11" s="21">
        <f>'DairyBase dataset'!D77</f>
        <v>0</v>
      </c>
    </row>
    <row r="12" spans="1:18" ht="15">
      <c r="A12" s="299" t="s">
        <v>153</v>
      </c>
      <c r="B12" s="20" t="e">
        <f>C12/'DairyBase dataset'!$D$58</f>
        <v>#DIV/0!</v>
      </c>
      <c r="C12" s="11">
        <f>'DairyBase dataset'!D79</f>
        <v>0</v>
      </c>
    </row>
    <row r="13" spans="1:18" ht="15">
      <c r="A13" s="365" t="s">
        <v>142</v>
      </c>
      <c r="B13" s="23" t="e">
        <f>SUM(B9:B10)</f>
        <v>#DIV/0!</v>
      </c>
      <c r="C13" s="31">
        <f>SUM(C9:C10)</f>
        <v>0</v>
      </c>
    </row>
    <row r="14" spans="1:18" ht="15">
      <c r="A14" s="365" t="s">
        <v>67</v>
      </c>
      <c r="B14" s="23" t="e">
        <f>SUM(B9:B12)</f>
        <v>#DIV/0!</v>
      </c>
      <c r="C14" s="31">
        <f>SUM(C9:C12)</f>
        <v>0</v>
      </c>
    </row>
    <row r="15" spans="1:18" ht="15">
      <c r="A15" s="365" t="s">
        <v>69</v>
      </c>
      <c r="B15" s="24" t="e">
        <f>SUM(B7:B12)</f>
        <v>#DIV/0!</v>
      </c>
      <c r="C15" s="23">
        <f>C13+C7+C11</f>
        <v>0</v>
      </c>
    </row>
    <row r="16" spans="1:18" ht="15">
      <c r="A16" s="18"/>
      <c r="B16" s="24"/>
      <c r="C16" s="23"/>
    </row>
    <row r="17" spans="1:20" ht="32">
      <c r="A17" s="17"/>
      <c r="B17" s="79" t="s">
        <v>167</v>
      </c>
      <c r="C17" s="19"/>
      <c r="F17" s="18" t="s">
        <v>68</v>
      </c>
      <c r="G17" s="18"/>
      <c r="H17" s="18"/>
    </row>
    <row r="18" spans="1:20" ht="15">
      <c r="A18" s="305" t="s">
        <v>5</v>
      </c>
      <c r="B18" s="22" t="e">
        <f>(C9)/C13</f>
        <v>#DIV/0!</v>
      </c>
      <c r="F18" s="26" t="s">
        <v>70</v>
      </c>
      <c r="G18" s="26" t="s">
        <v>71</v>
      </c>
      <c r="H18" s="322">
        <f>'DairyBase dataset'!D99</f>
        <v>0</v>
      </c>
      <c r="T18" s="269"/>
    </row>
    <row r="19" spans="1:20" ht="15">
      <c r="A19" s="305" t="s">
        <v>122</v>
      </c>
      <c r="B19" s="22" t="e">
        <f>(C10)/C13</f>
        <v>#DIV/0!</v>
      </c>
      <c r="D19" s="22"/>
      <c r="E19" s="17"/>
      <c r="F19" s="26" t="s">
        <v>72</v>
      </c>
      <c r="G19" s="26" t="s">
        <v>73</v>
      </c>
      <c r="H19" s="322">
        <f>'DairyBase dataset'!D100</f>
        <v>0</v>
      </c>
    </row>
    <row r="20" spans="1:20" ht="15">
      <c r="A20" s="17"/>
      <c r="B20" s="25" t="e">
        <f>SUM(B18:B19)</f>
        <v>#DIV/0!</v>
      </c>
      <c r="C20" s="23"/>
      <c r="D20" s="22"/>
      <c r="E20" s="17"/>
      <c r="F20" s="26" t="s">
        <v>78</v>
      </c>
      <c r="G20" s="26" t="s">
        <v>79</v>
      </c>
      <c r="H20" s="323" t="e">
        <f>H19/H18</f>
        <v>#DIV/0!</v>
      </c>
    </row>
    <row r="21" spans="1:20" ht="15">
      <c r="A21" s="18" t="s">
        <v>74</v>
      </c>
      <c r="B21" s="19" t="s">
        <v>75</v>
      </c>
      <c r="C21" s="27" t="s">
        <v>76</v>
      </c>
      <c r="D21" s="28" t="s">
        <v>77</v>
      </c>
      <c r="E21" s="17"/>
      <c r="F21" s="26" t="s">
        <v>10</v>
      </c>
      <c r="G21" s="26" t="s">
        <v>80</v>
      </c>
      <c r="H21" s="322">
        <f>'DairyBase dataset'!D102</f>
        <v>0</v>
      </c>
    </row>
    <row r="22" spans="1:20" ht="15">
      <c r="A22" s="281" t="s">
        <v>61</v>
      </c>
      <c r="B22" s="32">
        <f>'DairyBase dataset'!F72</f>
        <v>0</v>
      </c>
      <c r="C22" s="29">
        <f>'DairyBase dataset'!G72</f>
        <v>0</v>
      </c>
      <c r="D22" s="325" t="e">
        <f>C22/$C$24</f>
        <v>#DIV/0!</v>
      </c>
      <c r="E22" s="17"/>
      <c r="F22" s="26" t="s">
        <v>81</v>
      </c>
      <c r="G22" s="26" t="s">
        <v>82</v>
      </c>
      <c r="H22" s="322">
        <f>'DairyBase dataset'!D103</f>
        <v>0</v>
      </c>
    </row>
    <row r="23" spans="1:20" ht="15">
      <c r="A23" s="281" t="s">
        <v>170</v>
      </c>
      <c r="B23" s="32">
        <f>'DairyBase dataset'!F73</f>
        <v>0</v>
      </c>
      <c r="C23" s="29">
        <f>'DairyBase dataset'!G73</f>
        <v>0</v>
      </c>
      <c r="D23" s="325" t="e">
        <f>C23/$C$24</f>
        <v>#DIV/0!</v>
      </c>
      <c r="E23" s="17"/>
      <c r="F23" s="26" t="s">
        <v>83</v>
      </c>
      <c r="G23" s="26" t="s">
        <v>84</v>
      </c>
      <c r="H23" s="348">
        <f>'DairyBase dataset'!D104</f>
        <v>0</v>
      </c>
    </row>
    <row r="24" spans="1:20" ht="15">
      <c r="A24" s="281" t="s">
        <v>1</v>
      </c>
      <c r="B24" s="32">
        <f>'DairyBase dataset'!F74</f>
        <v>0</v>
      </c>
      <c r="C24" s="29">
        <f>'DairyBase dataset'!G74</f>
        <v>0</v>
      </c>
      <c r="D24" s="17"/>
      <c r="E24" s="17"/>
      <c r="F24" s="347" t="s">
        <v>162</v>
      </c>
      <c r="G24" s="284"/>
      <c r="H24" s="34">
        <v>11</v>
      </c>
    </row>
    <row r="25" spans="1:20">
      <c r="A25" s="369" t="s">
        <v>189</v>
      </c>
      <c r="B25" s="17"/>
      <c r="C25" s="17"/>
      <c r="D25" s="17"/>
      <c r="E25" s="17"/>
      <c r="F25" s="17"/>
    </row>
    <row r="26" spans="1:20" ht="15">
      <c r="A26" s="65" t="s">
        <v>85</v>
      </c>
      <c r="B26" s="62"/>
      <c r="C26" s="62"/>
      <c r="D26" s="62"/>
      <c r="E26" s="62"/>
      <c r="F26" s="62"/>
      <c r="G26" s="62"/>
      <c r="H26" s="62"/>
      <c r="I26" s="62"/>
      <c r="J26" s="62"/>
    </row>
    <row r="27" spans="1:20">
      <c r="A27" s="266" t="s">
        <v>183</v>
      </c>
    </row>
    <row r="28" spans="1:20" ht="15">
      <c r="B28" s="324">
        <f>'DairyBase dataset'!C10</f>
        <v>0</v>
      </c>
      <c r="C28" s="43" t="s">
        <v>157</v>
      </c>
      <c r="D28" s="298" t="s">
        <v>187</v>
      </c>
    </row>
    <row r="29" spans="1:20" ht="15">
      <c r="A29" s="272" t="s">
        <v>158</v>
      </c>
      <c r="B29" s="302">
        <f>'Forecast inputs'!$B$54</f>
        <v>0</v>
      </c>
      <c r="C29" s="302">
        <f>'Forecast inputs'!$B$53</f>
        <v>0</v>
      </c>
      <c r="D29" s="298">
        <f>C29-B29</f>
        <v>0</v>
      </c>
    </row>
    <row r="30" spans="1:20">
      <c r="A30" s="366" t="s">
        <v>184</v>
      </c>
      <c r="B30" s="303">
        <f>'DairyBase dataset'!$E$64</f>
        <v>0</v>
      </c>
      <c r="C30" s="302" t="e">
        <f>C29/(B29/B30)</f>
        <v>#DIV/0!</v>
      </c>
      <c r="D30" s="367" t="e">
        <f>C30-B30</f>
        <v>#DIV/0!</v>
      </c>
      <c r="F30" s="267"/>
    </row>
    <row r="31" spans="1:20">
      <c r="A31" s="366" t="s">
        <v>185</v>
      </c>
      <c r="B31" s="303"/>
      <c r="C31" s="368" t="e">
        <f>(D30)*'Forecast inputs'!B50</f>
        <v>#DIV/0!</v>
      </c>
      <c r="F31" s="267"/>
    </row>
    <row r="32" spans="1:20" ht="15">
      <c r="A32" s="272" t="s">
        <v>186</v>
      </c>
      <c r="B32" s="12"/>
      <c r="C32" s="368" t="e">
        <f>(C31)*(('DairyBase dataset'!$D$68*0.381)+('DairyBase dataset'!$D$69*0.245)+(0.049*0.165))*100*1.03</f>
        <v>#DIV/0!</v>
      </c>
    </row>
    <row r="34" spans="1:12" ht="16">
      <c r="A34" s="366" t="s">
        <v>188</v>
      </c>
      <c r="B34" s="79" t="s">
        <v>117</v>
      </c>
      <c r="C34" s="43" t="s">
        <v>143</v>
      </c>
      <c r="D34" s="43" t="s">
        <v>166</v>
      </c>
      <c r="E34" s="43" t="s">
        <v>98</v>
      </c>
    </row>
    <row r="35" spans="1:12" ht="15">
      <c r="A35" s="299" t="s">
        <v>5</v>
      </c>
      <c r="B35" s="82" t="e">
        <f>B18</f>
        <v>#DIV/0!</v>
      </c>
      <c r="C35" s="296">
        <v>10</v>
      </c>
      <c r="D35" s="350">
        <v>0.2</v>
      </c>
      <c r="E35" s="300" t="e">
        <f>((C32*B35)/C35/1000)*(1+D35)</f>
        <v>#DIV/0!</v>
      </c>
    </row>
    <row r="36" spans="1:12" ht="15">
      <c r="A36" s="299" t="s">
        <v>122</v>
      </c>
      <c r="B36" s="82" t="e">
        <f>$B$19</f>
        <v>#DIV/0!</v>
      </c>
      <c r="C36" s="296">
        <v>12</v>
      </c>
      <c r="D36" s="350">
        <v>0.05</v>
      </c>
      <c r="E36" s="300" t="e">
        <f>((C32*B36)/C36/1000)*(1+D36)</f>
        <v>#DIV/0!</v>
      </c>
    </row>
    <row r="37" spans="1:12" ht="15">
      <c r="C37" s="85"/>
      <c r="E37" s="301" t="e">
        <f>E36+E35</f>
        <v>#DIV/0!</v>
      </c>
    </row>
    <row r="38" spans="1:12" ht="15">
      <c r="A38" s="5"/>
      <c r="B38" s="304" t="s">
        <v>62</v>
      </c>
      <c r="C38" s="304" t="s">
        <v>63</v>
      </c>
      <c r="E38" s="267"/>
    </row>
    <row r="39" spans="1:12" ht="15">
      <c r="A39" s="272" t="s">
        <v>144</v>
      </c>
      <c r="B39" s="297" t="e">
        <f>C39/'Forecast inputs'!B50</f>
        <v>#DIV/0!</v>
      </c>
      <c r="C39" s="81" t="e">
        <f>($B$15*'Forecast inputs'!$B$50)</f>
        <v>#DIV/0!</v>
      </c>
      <c r="E39" s="267"/>
    </row>
    <row r="40" spans="1:12" ht="15">
      <c r="A40" s="272" t="s">
        <v>145</v>
      </c>
      <c r="B40" s="297" t="e">
        <f>C40/'Forecast inputs'!B50</f>
        <v>#DIV/0!</v>
      </c>
      <c r="C40" s="81" t="e">
        <f>C39+E37</f>
        <v>#DIV/0!</v>
      </c>
      <c r="E40" s="267"/>
      <c r="J40" s="363"/>
      <c r="K40" s="364"/>
      <c r="L40" s="364"/>
    </row>
    <row r="41" spans="1:12" ht="15">
      <c r="A41" s="5"/>
      <c r="B41" s="297"/>
      <c r="C41" s="81"/>
      <c r="E41" s="267"/>
      <c r="F41" s="17"/>
      <c r="G41" s="362"/>
      <c r="K41" s="364"/>
      <c r="L41" s="364"/>
    </row>
    <row r="42" spans="1:12" ht="15">
      <c r="A42" s="18" t="s">
        <v>74</v>
      </c>
      <c r="B42" s="297"/>
      <c r="C42" s="81"/>
      <c r="E42" s="267"/>
      <c r="F42" s="17"/>
      <c r="G42" s="362"/>
      <c r="K42" s="364"/>
      <c r="L42" s="364"/>
    </row>
    <row r="43" spans="1:12" ht="15">
      <c r="A43" s="18"/>
      <c r="B43" s="297"/>
      <c r="C43" s="81"/>
      <c r="E43" s="267"/>
      <c r="F43" s="17"/>
      <c r="G43" s="362"/>
      <c r="K43" s="364"/>
      <c r="L43" s="364"/>
    </row>
    <row r="44" spans="1:12" ht="15">
      <c r="A44" s="5" t="s">
        <v>182</v>
      </c>
      <c r="B44" s="18"/>
      <c r="C44" s="18"/>
      <c r="K44" s="364"/>
      <c r="L44" s="364"/>
    </row>
    <row r="45" spans="1:12" ht="15">
      <c r="A45" s="281" t="s">
        <v>70</v>
      </c>
      <c r="B45" s="26" t="s">
        <v>71</v>
      </c>
      <c r="C45" s="322">
        <f>'Forecast inputs'!$B$47</f>
        <v>0</v>
      </c>
      <c r="K45" s="364"/>
      <c r="L45" s="364"/>
    </row>
    <row r="46" spans="1:12" ht="15">
      <c r="A46" s="281" t="s">
        <v>87</v>
      </c>
      <c r="B46" s="26" t="s">
        <v>141</v>
      </c>
      <c r="C46" s="322">
        <f>'Forecast inputs'!$B$25</f>
        <v>0</v>
      </c>
      <c r="K46" s="364"/>
      <c r="L46" s="364"/>
    </row>
    <row r="47" spans="1:12" ht="15">
      <c r="A47" s="281" t="s">
        <v>88</v>
      </c>
      <c r="B47" s="26" t="s">
        <v>80</v>
      </c>
      <c r="C47" s="322">
        <f>'Forecast inputs'!$B$27</f>
        <v>0</v>
      </c>
      <c r="D47" s="387"/>
      <c r="H47" s="81"/>
      <c r="I47" s="81"/>
      <c r="J47" s="363"/>
      <c r="K47" s="364"/>
      <c r="L47" s="364"/>
    </row>
    <row r="48" spans="1:12" ht="15">
      <c r="A48" s="281" t="s">
        <v>83</v>
      </c>
      <c r="B48" s="26" t="s">
        <v>89</v>
      </c>
      <c r="C48" s="360" t="str">
        <f>IF((OR('Forecast inputs'!$B$31&lt;='Forecast inputs'!$B$335,'Forecast inputs'!$B$31&gt;='Forecast inputs'!$C$335)),"",'Forecast inputs'!$B$31)</f>
        <v/>
      </c>
      <c r="H48" s="81"/>
      <c r="I48" s="81"/>
      <c r="J48" s="363"/>
      <c r="K48" s="364"/>
      <c r="L48" s="364"/>
    </row>
    <row r="49" spans="1:12">
      <c r="J49" s="363"/>
      <c r="K49" s="364"/>
      <c r="L49" s="364"/>
    </row>
    <row r="50" spans="1:12" ht="15">
      <c r="B50" s="19" t="s">
        <v>75</v>
      </c>
      <c r="C50" s="43" t="s">
        <v>171</v>
      </c>
      <c r="D50" s="19" t="s">
        <v>76</v>
      </c>
      <c r="J50" s="363"/>
      <c r="K50" s="364"/>
      <c r="L50" s="364"/>
    </row>
    <row r="51" spans="1:12" ht="15">
      <c r="A51" s="281" t="s">
        <v>61</v>
      </c>
      <c r="B51" s="32" t="e">
        <f>B53*$D$22</f>
        <v>#DIV/0!</v>
      </c>
      <c r="C51" s="297" t="e">
        <f>D51/'Forecast inputs'!$B$50</f>
        <v>#DIV/0!</v>
      </c>
      <c r="D51" s="29" t="e">
        <f>B51*C45</f>
        <v>#DIV/0!</v>
      </c>
      <c r="F51" s="361"/>
      <c r="J51" s="363"/>
      <c r="K51" s="364"/>
      <c r="L51" s="364"/>
    </row>
    <row r="52" spans="1:12" ht="15">
      <c r="A52" s="281" t="s">
        <v>169</v>
      </c>
      <c r="B52" s="32" t="e">
        <f>B53*$D$23</f>
        <v>#DIV/0!</v>
      </c>
      <c r="C52" s="297" t="e">
        <f>D52/'Forecast inputs'!$B$50</f>
        <v>#DIV/0!</v>
      </c>
      <c r="D52" s="29" t="e">
        <f>(B52*C45)*'Forecast inputs'!$B$36</f>
        <v>#DIV/0!</v>
      </c>
      <c r="J52" s="363"/>
      <c r="K52" s="364"/>
      <c r="L52" s="364"/>
    </row>
    <row r="53" spans="1:12" ht="15">
      <c r="A53" s="281" t="s">
        <v>1</v>
      </c>
      <c r="B53" s="308" t="e">
        <f>((C47/100)+(C46/C45))*C48</f>
        <v>#DIV/0!</v>
      </c>
      <c r="C53" s="84" t="e">
        <f>D53/'Forecast inputs'!$B$50</f>
        <v>#DIV/0!</v>
      </c>
      <c r="D53" s="30" t="e">
        <f>SUM(D51:D52)</f>
        <v>#DIV/0!</v>
      </c>
      <c r="J53" s="17"/>
      <c r="K53" s="17"/>
      <c r="L53" s="17"/>
    </row>
    <row r="55" spans="1:12" ht="15">
      <c r="A55" s="18" t="s">
        <v>168</v>
      </c>
      <c r="B55" s="297"/>
      <c r="C55" s="81"/>
      <c r="E55" s="267"/>
      <c r="F55" s="17"/>
      <c r="G55" s="362"/>
      <c r="H55" s="81"/>
      <c r="I55" s="81"/>
    </row>
    <row r="56" spans="1:12" ht="15">
      <c r="B56" s="5"/>
      <c r="C56" s="5"/>
      <c r="D56" s="5"/>
      <c r="E56" s="5"/>
      <c r="F56" s="442" t="s">
        <v>173</v>
      </c>
      <c r="G56" s="442"/>
      <c r="H56" s="81"/>
      <c r="I56" s="81"/>
    </row>
    <row r="57" spans="1:12" ht="32">
      <c r="A57" s="5" t="s">
        <v>179</v>
      </c>
      <c r="B57" s="79" t="s">
        <v>172</v>
      </c>
      <c r="C57" s="74" t="s">
        <v>62</v>
      </c>
      <c r="D57" s="74" t="s">
        <v>180</v>
      </c>
      <c r="E57" s="74" t="s">
        <v>63</v>
      </c>
      <c r="F57" s="74" t="s">
        <v>174</v>
      </c>
      <c r="G57" s="74" t="s">
        <v>175</v>
      </c>
      <c r="H57" s="81" t="s">
        <v>200</v>
      </c>
      <c r="I57" s="81"/>
    </row>
    <row r="58" spans="1:12" ht="15">
      <c r="A58" s="272" t="s">
        <v>65</v>
      </c>
      <c r="B58" s="42"/>
      <c r="C58" s="81" t="e">
        <f>E58/'Forecast inputs'!$B$50</f>
        <v>#DIV/0!</v>
      </c>
      <c r="D58" s="81"/>
      <c r="E58" s="81" t="e">
        <f>(D63*$E$60)-'Forecast inputs'!$B$39</f>
        <v>#DIV/0!</v>
      </c>
      <c r="F58" s="81" t="e">
        <f>IF(D59="high",(C60-B59),0)</f>
        <v>#DIV/0!</v>
      </c>
      <c r="G58" s="81" t="e">
        <f>F58*'Forecast inputs'!$B$50</f>
        <v>#DIV/0!</v>
      </c>
      <c r="H58" s="380">
        <f>IFERROR((G58/G60),0)</f>
        <v>0</v>
      </c>
    </row>
    <row r="59" spans="1:12" ht="15">
      <c r="A59" s="272" t="s">
        <v>66</v>
      </c>
      <c r="B59" s="81">
        <f>'Forecast inputs'!$B$43</f>
        <v>0</v>
      </c>
      <c r="C59" s="81" t="e">
        <f>E59/'Forecast inputs'!$B$50</f>
        <v>#DIV/0!</v>
      </c>
      <c r="D59" s="81" t="e">
        <f>IF(C59&gt;B59,"high","OK")</f>
        <v>#DIV/0!</v>
      </c>
      <c r="E59" s="81" t="e">
        <f>(D64*$E$60)-'Forecast inputs'!$B$40</f>
        <v>#DIV/0!</v>
      </c>
      <c r="F59" s="81" t="e">
        <f>IF(D59="high",B59,0)</f>
        <v>#DIV/0!</v>
      </c>
      <c r="G59" s="81" t="e">
        <f>F59*'Forecast inputs'!$B$50</f>
        <v>#DIV/0!</v>
      </c>
      <c r="H59" s="380">
        <f>IFERROR((G59/G60),0)</f>
        <v>0</v>
      </c>
    </row>
    <row r="60" spans="1:12" ht="15">
      <c r="A60" s="272" t="s">
        <v>1</v>
      </c>
      <c r="B60" s="42"/>
      <c r="C60" s="81" t="e">
        <f>SUM(C58:C59)</f>
        <v>#DIV/0!</v>
      </c>
      <c r="D60" s="81"/>
      <c r="E60" s="81" t="e">
        <f>C40-D53</f>
        <v>#DIV/0!</v>
      </c>
      <c r="F60" s="81" t="e">
        <f>SUM(F58:F59)</f>
        <v>#DIV/0!</v>
      </c>
      <c r="G60" s="81" t="e">
        <f>SUM(G58:G59)</f>
        <v>#DIV/0!</v>
      </c>
      <c r="H60" s="44"/>
      <c r="I60" s="17"/>
    </row>
    <row r="61" spans="1:12" ht="15">
      <c r="C61" s="81"/>
      <c r="E61" s="267"/>
      <c r="F61" s="267"/>
    </row>
    <row r="62" spans="1:12" ht="32">
      <c r="A62" s="11" t="s">
        <v>181</v>
      </c>
      <c r="B62" s="43" t="s">
        <v>171</v>
      </c>
      <c r="C62" s="74" t="s">
        <v>63</v>
      </c>
      <c r="D62" s="79" t="s">
        <v>117</v>
      </c>
      <c r="E62" s="43" t="s">
        <v>4</v>
      </c>
      <c r="F62" s="80" t="s">
        <v>86</v>
      </c>
      <c r="G62" s="43" t="s">
        <v>90</v>
      </c>
      <c r="H62" s="266" t="s">
        <v>96</v>
      </c>
    </row>
    <row r="63" spans="1:12" ht="15">
      <c r="A63" s="272" t="s">
        <v>65</v>
      </c>
      <c r="B63" s="297" t="e">
        <f>IF(D59="high",F58,C58)</f>
        <v>#DIV/0!</v>
      </c>
      <c r="C63" s="297" t="e">
        <f>IF(D59="high",G58,E58)</f>
        <v>#DIV/0!</v>
      </c>
      <c r="D63" s="82" t="e">
        <f>$B$18</f>
        <v>#DIV/0!</v>
      </c>
      <c r="E63" s="44">
        <v>0.85</v>
      </c>
      <c r="F63" s="83">
        <f>'Forecast inputs'!$B$8</f>
        <v>0</v>
      </c>
      <c r="G63" s="271" t="e">
        <f>((C63)/E63)*F63</f>
        <v>#DIV/0!</v>
      </c>
      <c r="H63" s="312">
        <f>IF(H10&lt;0,0,H10*'Forecast inputs'!B8)</f>
        <v>0</v>
      </c>
    </row>
    <row r="64" spans="1:12" ht="15">
      <c r="A64" s="272" t="s">
        <v>66</v>
      </c>
      <c r="B64" s="297" t="e">
        <f>IF(D59="high",F59,C59)</f>
        <v>#DIV/0!</v>
      </c>
      <c r="C64" s="297" t="e">
        <f>IF(D59="high",G59,E59)</f>
        <v>#DIV/0!</v>
      </c>
      <c r="D64" s="82" t="e">
        <f>$B$19</f>
        <v>#DIV/0!</v>
      </c>
      <c r="E64" s="44">
        <v>0.9</v>
      </c>
      <c r="F64" s="83">
        <f>'Forecast inputs'!$B$10</f>
        <v>0</v>
      </c>
      <c r="G64" s="271" t="e">
        <f>((C64)/E64)*F64</f>
        <v>#DIV/0!</v>
      </c>
    </row>
    <row r="65" spans="1:10" ht="15">
      <c r="A65" s="272" t="s">
        <v>1</v>
      </c>
      <c r="B65" s="297" t="e">
        <f>SUM(B63:B64)</f>
        <v>#DIV/0!</v>
      </c>
      <c r="C65" s="297" t="e">
        <f>SUM(C63:C64)</f>
        <v>#DIV/0!</v>
      </c>
      <c r="D65" s="85" t="e">
        <f>SUM(D62:D64)</f>
        <v>#DIV/0!</v>
      </c>
      <c r="E65" s="42"/>
      <c r="F65" s="12"/>
      <c r="G65" s="86">
        <f>IFERROR(SUM(G63:G64),0)</f>
        <v>0</v>
      </c>
      <c r="H65" s="313">
        <f>G65+H63</f>
        <v>0</v>
      </c>
    </row>
    <row r="66" spans="1:10" ht="15">
      <c r="A66" s="5"/>
      <c r="B66" s="5"/>
      <c r="C66" s="5"/>
      <c r="D66" s="5"/>
    </row>
    <row r="67" spans="1:10" ht="15">
      <c r="A67" s="65" t="s">
        <v>85</v>
      </c>
      <c r="B67" s="58"/>
      <c r="C67" s="58"/>
      <c r="D67" s="58"/>
      <c r="E67" s="62"/>
      <c r="F67" s="62"/>
      <c r="G67" s="62"/>
      <c r="H67" s="62"/>
      <c r="I67" s="62"/>
      <c r="J67" s="62"/>
    </row>
    <row r="68" spans="1:10">
      <c r="A68" s="266" t="s">
        <v>183</v>
      </c>
    </row>
    <row r="69" spans="1:10" ht="15">
      <c r="B69" s="324">
        <f>'DairyBase dataset'!C51</f>
        <v>0</v>
      </c>
      <c r="C69" s="84"/>
      <c r="D69" s="298" t="s">
        <v>187</v>
      </c>
    </row>
    <row r="70" spans="1:10" ht="15">
      <c r="A70" s="272" t="s">
        <v>158</v>
      </c>
      <c r="B70" s="302">
        <f>'Forecast inputs'!$B$54</f>
        <v>0</v>
      </c>
      <c r="C70" s="302">
        <f>'Forecast inputs'!$B$53</f>
        <v>0</v>
      </c>
      <c r="D70" s="298">
        <f>C70-B70</f>
        <v>0</v>
      </c>
    </row>
    <row r="71" spans="1:10">
      <c r="A71" s="366" t="s">
        <v>184</v>
      </c>
      <c r="B71" s="303">
        <f>'DairyBase dataset'!$E$64</f>
        <v>0</v>
      </c>
      <c r="C71" s="302" t="e">
        <f>C70/(B70/B71)</f>
        <v>#DIV/0!</v>
      </c>
      <c r="D71" s="367" t="e">
        <f>C71-B71</f>
        <v>#DIV/0!</v>
      </c>
      <c r="F71" s="267"/>
    </row>
    <row r="72" spans="1:10">
      <c r="A72" s="366" t="s">
        <v>185</v>
      </c>
      <c r="B72" s="303"/>
      <c r="C72" s="368" t="e">
        <f>(D71)*'Forecast inputs'!B50</f>
        <v>#DIV/0!</v>
      </c>
      <c r="F72" s="267"/>
    </row>
    <row r="73" spans="1:10" ht="15">
      <c r="A73" s="272" t="s">
        <v>186</v>
      </c>
      <c r="B73" s="12"/>
      <c r="C73" s="368" t="e">
        <f>(C72)*(('DairyBase dataset'!$D$68*0.381)+('DairyBase dataset'!$D$69*0.245)+(0.049*0.165))*100*1.03</f>
        <v>#DIV/0!</v>
      </c>
    </row>
    <row r="75" spans="1:10" ht="16">
      <c r="A75" s="366" t="s">
        <v>188</v>
      </c>
      <c r="B75" s="79" t="s">
        <v>117</v>
      </c>
      <c r="C75" s="43" t="s">
        <v>143</v>
      </c>
      <c r="D75" s="43" t="s">
        <v>166</v>
      </c>
      <c r="E75" s="43" t="s">
        <v>98</v>
      </c>
    </row>
    <row r="76" spans="1:10" ht="15">
      <c r="A76" s="299" t="s">
        <v>5</v>
      </c>
      <c r="B76" s="82">
        <f>H58</f>
        <v>0</v>
      </c>
      <c r="C76" s="296">
        <v>10</v>
      </c>
      <c r="D76" s="350">
        <v>0.2</v>
      </c>
      <c r="E76" s="300" t="e">
        <f>((C73*B76)/C76/1000)*(1+D76)</f>
        <v>#DIV/0!</v>
      </c>
    </row>
    <row r="77" spans="1:10" ht="15">
      <c r="A77" s="299" t="s">
        <v>122</v>
      </c>
      <c r="B77" s="82">
        <f>H59</f>
        <v>0</v>
      </c>
      <c r="C77" s="296">
        <v>12</v>
      </c>
      <c r="D77" s="350">
        <v>0.05</v>
      </c>
      <c r="E77" s="300" t="e">
        <f>((C73*B77)/C77/1000)*(1+D77)</f>
        <v>#DIV/0!</v>
      </c>
    </row>
    <row r="78" spans="1:10" ht="15">
      <c r="C78" s="85"/>
      <c r="E78" s="301" t="e">
        <f>E77+E76</f>
        <v>#DIV/0!</v>
      </c>
    </row>
    <row r="79" spans="1:10" ht="15">
      <c r="A79" s="5"/>
      <c r="B79" s="304" t="s">
        <v>62</v>
      </c>
      <c r="C79" s="304" t="s">
        <v>63</v>
      </c>
      <c r="E79" s="267"/>
    </row>
    <row r="80" spans="1:10" ht="15">
      <c r="A80" s="272" t="s">
        <v>144</v>
      </c>
      <c r="B80" s="297" t="e">
        <f>C80/'Forecast inputs'!B50</f>
        <v>#DIV/0!</v>
      </c>
      <c r="C80" s="81" t="e">
        <f>($B$15*'Forecast inputs'!$B$50)</f>
        <v>#DIV/0!</v>
      </c>
      <c r="E80" s="267"/>
    </row>
    <row r="81" spans="1:10" ht="15">
      <c r="A81" s="272" t="s">
        <v>145</v>
      </c>
      <c r="B81" s="297" t="e">
        <f>C81/'Forecast inputs'!B50</f>
        <v>#DIV/0!</v>
      </c>
      <c r="C81" s="81" t="e">
        <f>C80+E78</f>
        <v>#DIV/0!</v>
      </c>
      <c r="E81" s="267"/>
      <c r="J81" s="363"/>
    </row>
    <row r="82" spans="1:10" ht="15">
      <c r="A82" s="5"/>
      <c r="B82" s="297"/>
      <c r="C82" s="81"/>
      <c r="E82" s="267"/>
      <c r="F82" s="17"/>
      <c r="G82" s="362"/>
    </row>
    <row r="83" spans="1:10" ht="15">
      <c r="A83" s="18" t="s">
        <v>74</v>
      </c>
      <c r="B83" s="297"/>
      <c r="C83" s="81"/>
      <c r="E83" s="267"/>
      <c r="F83" s="17"/>
      <c r="G83" s="362"/>
    </row>
    <row r="84" spans="1:10" ht="15">
      <c r="A84" s="18"/>
      <c r="B84" s="297"/>
      <c r="C84" s="81"/>
      <c r="E84" s="267"/>
      <c r="F84" s="17"/>
      <c r="G84" s="362"/>
    </row>
    <row r="85" spans="1:10" ht="15">
      <c r="A85" s="5" t="s">
        <v>182</v>
      </c>
      <c r="B85" s="18"/>
      <c r="C85" s="18"/>
    </row>
    <row r="86" spans="1:10" ht="15">
      <c r="A86" s="281" t="s">
        <v>70</v>
      </c>
      <c r="B86" s="26" t="s">
        <v>71</v>
      </c>
      <c r="C86" s="322">
        <f>'Forecast inputs'!$B$47</f>
        <v>0</v>
      </c>
    </row>
    <row r="87" spans="1:10" ht="15">
      <c r="A87" s="281" t="s">
        <v>87</v>
      </c>
      <c r="B87" s="26" t="s">
        <v>141</v>
      </c>
      <c r="C87" s="322">
        <f>'Forecast inputs'!$B$25</f>
        <v>0</v>
      </c>
    </row>
    <row r="88" spans="1:10" ht="15">
      <c r="A88" s="281" t="s">
        <v>88</v>
      </c>
      <c r="B88" s="26" t="s">
        <v>80</v>
      </c>
      <c r="C88" s="322">
        <f>'Forecast inputs'!$B$27</f>
        <v>0</v>
      </c>
      <c r="H88" s="81"/>
      <c r="I88" s="81"/>
      <c r="J88" s="363"/>
    </row>
    <row r="89" spans="1:10" ht="15">
      <c r="A89" s="281" t="s">
        <v>83</v>
      </c>
      <c r="B89" s="26" t="s">
        <v>89</v>
      </c>
      <c r="C89" s="360" t="str">
        <f>IF((OR('Forecast inputs'!$B$31&lt;='Forecast inputs'!$B$335,'Forecast inputs'!$B$31&gt;='Forecast inputs'!$C$335)),"",'Forecast inputs'!$B$31)</f>
        <v/>
      </c>
      <c r="H89" s="81"/>
      <c r="I89" s="81"/>
      <c r="J89" s="363"/>
    </row>
    <row r="90" spans="1:10">
      <c r="J90" s="363"/>
    </row>
    <row r="91" spans="1:10" ht="15">
      <c r="B91" s="19" t="s">
        <v>75</v>
      </c>
      <c r="C91" s="43" t="s">
        <v>171</v>
      </c>
      <c r="D91" s="19" t="s">
        <v>76</v>
      </c>
      <c r="J91" s="363"/>
    </row>
    <row r="92" spans="1:10" ht="15">
      <c r="A92" s="281" t="s">
        <v>61</v>
      </c>
      <c r="B92" s="32" t="e">
        <f>B94*$D$22</f>
        <v>#DIV/0!</v>
      </c>
      <c r="C92" s="297" t="e">
        <f>D92/'Forecast inputs'!$B$50</f>
        <v>#DIV/0!</v>
      </c>
      <c r="D92" s="29" t="e">
        <f>B92*C86</f>
        <v>#DIV/0!</v>
      </c>
      <c r="F92" s="361"/>
      <c r="J92" s="363"/>
    </row>
    <row r="93" spans="1:10" ht="15">
      <c r="A93" s="281" t="s">
        <v>169</v>
      </c>
      <c r="B93" s="32" t="e">
        <f>B94*$D$23</f>
        <v>#DIV/0!</v>
      </c>
      <c r="C93" s="297" t="e">
        <f>D93/'Forecast inputs'!$B$50</f>
        <v>#DIV/0!</v>
      </c>
      <c r="D93" s="29" t="e">
        <f>(B93*C86)*'Forecast inputs'!$B$36</f>
        <v>#DIV/0!</v>
      </c>
      <c r="J93" s="363"/>
    </row>
    <row r="94" spans="1:10" ht="15">
      <c r="A94" s="281" t="s">
        <v>1</v>
      </c>
      <c r="B94" s="308" t="e">
        <f>((C88/100)+(C87/C86))*C89</f>
        <v>#DIV/0!</v>
      </c>
      <c r="C94" s="84" t="e">
        <f>D94/'Forecast inputs'!$B$50</f>
        <v>#DIV/0!</v>
      </c>
      <c r="D94" s="30" t="e">
        <f>SUM(D92:D93)</f>
        <v>#DIV/0!</v>
      </c>
      <c r="J94" s="17"/>
    </row>
    <row r="96" spans="1:10" ht="15">
      <c r="A96" s="18" t="s">
        <v>168</v>
      </c>
      <c r="B96" s="297"/>
      <c r="C96" s="81"/>
      <c r="E96" s="267"/>
      <c r="F96" s="17"/>
      <c r="G96" s="362"/>
      <c r="H96" s="81"/>
      <c r="I96" s="81"/>
    </row>
    <row r="97" spans="1:10" ht="15">
      <c r="B97" s="5"/>
      <c r="C97" s="5"/>
      <c r="D97" s="5"/>
      <c r="E97" s="5"/>
      <c r="F97" s="442" t="s">
        <v>173</v>
      </c>
      <c r="G97" s="442"/>
      <c r="H97" s="81"/>
      <c r="I97" s="81"/>
    </row>
    <row r="98" spans="1:10" ht="32">
      <c r="A98" s="5" t="s">
        <v>179</v>
      </c>
      <c r="B98" s="79" t="s">
        <v>172</v>
      </c>
      <c r="C98" s="74" t="s">
        <v>62</v>
      </c>
      <c r="D98" s="74" t="s">
        <v>180</v>
      </c>
      <c r="E98" s="74" t="s">
        <v>63</v>
      </c>
      <c r="F98" s="74" t="s">
        <v>174</v>
      </c>
      <c r="G98" s="74" t="s">
        <v>175</v>
      </c>
      <c r="H98" s="81"/>
      <c r="I98" s="81"/>
    </row>
    <row r="99" spans="1:10" ht="15">
      <c r="A99" s="272" t="s">
        <v>65</v>
      </c>
      <c r="B99" s="42"/>
      <c r="C99" s="81" t="e">
        <f>E99/'Forecast inputs'!$B$50</f>
        <v>#DIV/0!</v>
      </c>
      <c r="D99" s="81"/>
      <c r="E99" s="81" t="e">
        <f>(D104*$E$101)-'Forecast inputs'!$B$39</f>
        <v>#DIV/0!</v>
      </c>
      <c r="F99" s="81" t="e">
        <f>IF(D100="high",(C101-B100),0)</f>
        <v>#DIV/0!</v>
      </c>
      <c r="G99" s="81" t="e">
        <f>F99*'Forecast inputs'!$B$50</f>
        <v>#DIV/0!</v>
      </c>
      <c r="H99" s="380"/>
    </row>
    <row r="100" spans="1:10" ht="15">
      <c r="A100" s="272" t="s">
        <v>66</v>
      </c>
      <c r="B100" s="81">
        <f>'Forecast inputs'!$B$43</f>
        <v>0</v>
      </c>
      <c r="C100" s="81" t="e">
        <f>E100/'Forecast inputs'!$B$50</f>
        <v>#DIV/0!</v>
      </c>
      <c r="D100" s="81" t="e">
        <f>IF(C100&gt;B100,"high","OK")</f>
        <v>#DIV/0!</v>
      </c>
      <c r="E100" s="81" t="e">
        <f>(D105*$E$60)-'Forecast inputs'!$B$40</f>
        <v>#DIV/0!</v>
      </c>
      <c r="F100" s="81" t="e">
        <f>IF(D100="high",B100,0)</f>
        <v>#DIV/0!</v>
      </c>
      <c r="G100" s="81" t="e">
        <f>F100*'Forecast inputs'!$B$50</f>
        <v>#DIV/0!</v>
      </c>
      <c r="H100" s="380"/>
    </row>
    <row r="101" spans="1:10" ht="15">
      <c r="A101" s="272" t="s">
        <v>1</v>
      </c>
      <c r="B101" s="42"/>
      <c r="C101" s="81" t="e">
        <f>SUM(C99:C100)</f>
        <v>#DIV/0!</v>
      </c>
      <c r="D101" s="81"/>
      <c r="E101" s="81" t="e">
        <f>C81-D94</f>
        <v>#DIV/0!</v>
      </c>
      <c r="F101" s="81" t="e">
        <f>SUM(F99:F100)</f>
        <v>#DIV/0!</v>
      </c>
      <c r="G101" s="81" t="e">
        <f>SUM(G99:G100)</f>
        <v>#DIV/0!</v>
      </c>
      <c r="H101" s="44"/>
      <c r="I101" s="17"/>
    </row>
    <row r="102" spans="1:10" ht="15">
      <c r="C102" s="81"/>
      <c r="E102" s="267"/>
      <c r="F102" s="267"/>
    </row>
    <row r="103" spans="1:10" ht="32">
      <c r="A103" s="11" t="s">
        <v>181</v>
      </c>
      <c r="B103" s="43" t="s">
        <v>171</v>
      </c>
      <c r="C103" s="74" t="s">
        <v>63</v>
      </c>
      <c r="D103" s="79" t="s">
        <v>117</v>
      </c>
      <c r="E103" s="43" t="s">
        <v>4</v>
      </c>
      <c r="F103" s="80" t="s">
        <v>86</v>
      </c>
      <c r="G103" s="43" t="s">
        <v>90</v>
      </c>
      <c r="H103" s="266" t="s">
        <v>96</v>
      </c>
    </row>
    <row r="104" spans="1:10" ht="15">
      <c r="A104" s="272" t="s">
        <v>65</v>
      </c>
      <c r="B104" s="297" t="e">
        <f>IF(D100="high",F99,C99)</f>
        <v>#DIV/0!</v>
      </c>
      <c r="C104" s="297" t="e">
        <f>IF(D100="high",G99,E99)</f>
        <v>#DIV/0!</v>
      </c>
      <c r="D104" s="82">
        <f>B76</f>
        <v>0</v>
      </c>
      <c r="E104" s="44">
        <v>0.85</v>
      </c>
      <c r="F104" s="83">
        <f>'Forecast inputs'!$B$8</f>
        <v>0</v>
      </c>
      <c r="G104" s="271" t="e">
        <f>((C104)/E104)*F104</f>
        <v>#DIV/0!</v>
      </c>
      <c r="H104" s="312">
        <f>IF(H10&lt;0,0,H10*'Forecast inputs'!B8)</f>
        <v>0</v>
      </c>
    </row>
    <row r="105" spans="1:10" ht="15">
      <c r="A105" s="272" t="s">
        <v>66</v>
      </c>
      <c r="B105" s="297" t="e">
        <f>IF(D100="high",F100,C100)</f>
        <v>#DIV/0!</v>
      </c>
      <c r="C105" s="297" t="e">
        <f>IF(D100="high",G100,E100)</f>
        <v>#DIV/0!</v>
      </c>
      <c r="D105" s="82">
        <f>B77</f>
        <v>0</v>
      </c>
      <c r="E105" s="44">
        <v>0.9</v>
      </c>
      <c r="F105" s="83">
        <f>'Forecast inputs'!$B$10</f>
        <v>0</v>
      </c>
      <c r="G105" s="271" t="e">
        <f>((C105)/E105)*F105</f>
        <v>#DIV/0!</v>
      </c>
    </row>
    <row r="106" spans="1:10" ht="15">
      <c r="A106" s="272" t="s">
        <v>1</v>
      </c>
      <c r="B106" s="297" t="e">
        <f>SUM(B104:B105)</f>
        <v>#DIV/0!</v>
      </c>
      <c r="C106" s="297" t="e">
        <f>SUM(C104:C105)</f>
        <v>#DIV/0!</v>
      </c>
      <c r="D106" s="85">
        <f>SUM(D103:D105)</f>
        <v>0</v>
      </c>
      <c r="E106" s="42"/>
      <c r="F106" s="12"/>
      <c r="G106" s="86">
        <f>IFERROR(SUM(G104:G105),0)</f>
        <v>0</v>
      </c>
      <c r="H106" s="313">
        <f>G106+H104</f>
        <v>0</v>
      </c>
    </row>
    <row r="107" spans="1:10" ht="15">
      <c r="A107" s="5"/>
      <c r="B107" s="5"/>
      <c r="C107" s="5"/>
      <c r="D107" s="5"/>
    </row>
    <row r="108" spans="1:10" ht="21">
      <c r="A108" s="55" t="s">
        <v>110</v>
      </c>
      <c r="B108" s="15"/>
      <c r="C108" s="60"/>
      <c r="D108" s="60"/>
      <c r="E108" s="15"/>
      <c r="F108" s="15"/>
      <c r="G108" s="15"/>
      <c r="H108" s="15"/>
      <c r="I108" s="15"/>
      <c r="J108" s="15"/>
    </row>
    <row r="109" spans="1:10" ht="21">
      <c r="A109" s="56" t="s">
        <v>108</v>
      </c>
      <c r="C109" s="17"/>
      <c r="D109" s="17"/>
    </row>
    <row r="110" spans="1:10" ht="21">
      <c r="A110" s="57" t="s">
        <v>111</v>
      </c>
      <c r="B110" s="5"/>
      <c r="C110" s="20"/>
      <c r="D110" s="5"/>
    </row>
    <row r="111" spans="1:10" ht="21">
      <c r="A111" s="57" t="s">
        <v>109</v>
      </c>
    </row>
    <row r="112" spans="1:10" ht="21">
      <c r="A112" s="57" t="s">
        <v>112</v>
      </c>
    </row>
    <row r="113" spans="1:1" ht="20">
      <c r="A113" s="71"/>
    </row>
  </sheetData>
  <sheetProtection algorithmName="SHA-512" hashValue="b1IX9V+nQZO6lvMNXd9w2L9Mpq/fmJZTPJKCtA5rv6nXGKG7Spsy3fkS/mhN+mBT3Cr2AeajIgghPFwtrDIp2w==" saltValue="t3VdQ+zVTegKKjr7EfGcfA==" spinCount="100000" sheet="1" objects="1" scenarios="1"/>
  <mergeCells count="2">
    <mergeCell ref="F56:G56"/>
    <mergeCell ref="F97:G97"/>
  </mergeCells>
  <hyperlinks>
    <hyperlink ref="A109" location="'DB data'!A1" display="DairyBase data" xr:uid="{00000000-0004-0000-0200-000000000000}"/>
    <hyperlink ref="A110" location="'Forecast inputs'!A1" display="Forecast inputs" xr:uid="{00000000-0004-0000-0200-000001000000}"/>
    <hyperlink ref="A111" location="'Feed calculations'!A1" display="Feed calculations" xr:uid="{00000000-0004-0000-0200-000002000000}"/>
    <hyperlink ref="A112" location="'Detailed Results'!A1" display="Detailed Results" xr:uid="{00000000-0004-0000-0200-000003000000}"/>
  </hyperlinks>
  <printOptions gridLines="1"/>
  <pageMargins left="0.74803149606299213" right="0.74803149606299213" top="0.98425196850393704" bottom="0.98425196850393704" header="0.51181102362204722" footer="0.51181102362204722"/>
  <pageSetup paperSize="9" scale="77"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FM76"/>
  <sheetViews>
    <sheetView workbookViewId="0">
      <selection activeCell="O18" sqref="O18"/>
    </sheetView>
  </sheetViews>
  <sheetFormatPr baseColWidth="10" defaultRowHeight="15"/>
  <cols>
    <col min="1" max="1" width="39.33203125" style="1" customWidth="1"/>
    <col min="2" max="2" width="5" style="11" customWidth="1"/>
    <col min="3" max="3" width="18.83203125" style="34" customWidth="1"/>
    <col min="4" max="4" width="2.6640625" style="34" customWidth="1"/>
    <col min="5" max="5" width="13.6640625" style="34" bestFit="1" customWidth="1"/>
    <col min="6" max="16384" width="10.83203125" style="11"/>
  </cols>
  <sheetData>
    <row r="1" spans="1:6" ht="21">
      <c r="A1" s="59" t="s">
        <v>112</v>
      </c>
      <c r="B1" s="15"/>
      <c r="C1" s="52"/>
      <c r="D1" s="52"/>
      <c r="E1" s="52"/>
    </row>
    <row r="2" spans="1:6" ht="12" customHeight="1">
      <c r="A2" s="293" t="s">
        <v>115</v>
      </c>
      <c r="B2" s="292" t="s">
        <v>116</v>
      </c>
      <c r="C2" s="72"/>
      <c r="E2" s="3"/>
    </row>
    <row r="3" spans="1:6">
      <c r="A3" s="377" t="s">
        <v>197</v>
      </c>
      <c r="B3" s="291" t="s">
        <v>198</v>
      </c>
      <c r="C3" s="290"/>
      <c r="E3" s="74"/>
      <c r="F3" s="17"/>
    </row>
    <row r="4" spans="1:6">
      <c r="A4" s="294" t="s">
        <v>134</v>
      </c>
      <c r="B4" s="289" t="s">
        <v>135</v>
      </c>
      <c r="C4" s="290"/>
      <c r="D4" s="11"/>
    </row>
    <row r="5" spans="1:6">
      <c r="A5" s="5"/>
      <c r="B5" s="5"/>
      <c r="C5" s="5"/>
    </row>
    <row r="6" spans="1:6">
      <c r="A6" s="37" t="s">
        <v>16</v>
      </c>
      <c r="B6" s="13"/>
      <c r="C6" s="334">
        <f>'DairyBase dataset'!C10</f>
        <v>0</v>
      </c>
      <c r="D6" s="3"/>
      <c r="E6" s="3" t="s">
        <v>15</v>
      </c>
    </row>
    <row r="7" spans="1:6">
      <c r="A7" s="33" t="s">
        <v>17</v>
      </c>
      <c r="B7" s="14"/>
      <c r="C7" s="335">
        <f>'DairyBase dataset'!D111</f>
        <v>0</v>
      </c>
      <c r="D7" s="36"/>
      <c r="E7" s="35" t="e">
        <f>'Forecast inputs'!B55*'Forecast inputs'!B6</f>
        <v>#VALUE!</v>
      </c>
    </row>
    <row r="8" spans="1:6">
      <c r="A8" s="33" t="s">
        <v>18</v>
      </c>
      <c r="B8" s="14"/>
      <c r="C8" s="335">
        <f>'DairyBase dataset'!D112</f>
        <v>0</v>
      </c>
      <c r="D8" s="36"/>
      <c r="E8" s="341">
        <f>C8</f>
        <v>0</v>
      </c>
    </row>
    <row r="9" spans="1:6">
      <c r="A9" s="33" t="s">
        <v>19</v>
      </c>
      <c r="B9" s="14"/>
      <c r="C9" s="335">
        <f>'DairyBase dataset'!D113</f>
        <v>0</v>
      </c>
      <c r="D9" s="36"/>
      <c r="E9" s="341">
        <f>C9</f>
        <v>0</v>
      </c>
    </row>
    <row r="10" spans="1:6">
      <c r="A10" s="33" t="s">
        <v>20</v>
      </c>
      <c r="B10" s="14"/>
      <c r="C10" s="335">
        <f>'DairyBase dataset'!D114</f>
        <v>0</v>
      </c>
      <c r="D10" s="36"/>
      <c r="E10" s="341">
        <f>'Forecast inputs'!B23*'Forecast inputs'!B14</f>
        <v>0</v>
      </c>
    </row>
    <row r="11" spans="1:6">
      <c r="A11" s="33" t="s">
        <v>21</v>
      </c>
      <c r="B11" s="14"/>
      <c r="C11" s="335">
        <f>'DairyBase dataset'!D115</f>
        <v>0</v>
      </c>
      <c r="D11" s="36"/>
      <c r="E11" s="341">
        <f>C11</f>
        <v>0</v>
      </c>
    </row>
    <row r="12" spans="1:6">
      <c r="A12" s="40" t="s">
        <v>22</v>
      </c>
      <c r="B12" s="41"/>
      <c r="C12" s="336">
        <f>'DairyBase dataset'!D116</f>
        <v>0</v>
      </c>
      <c r="D12" s="77"/>
      <c r="E12" s="78" t="e">
        <f>SUM(E7:E11)</f>
        <v>#VALUE!</v>
      </c>
    </row>
    <row r="13" spans="1:6">
      <c r="A13" s="37" t="s">
        <v>23</v>
      </c>
      <c r="B13" s="13"/>
      <c r="C13" s="335"/>
      <c r="D13" s="36"/>
      <c r="E13" s="35"/>
    </row>
    <row r="14" spans="1:6">
      <c r="A14" s="33" t="s">
        <v>24</v>
      </c>
      <c r="B14" s="14"/>
      <c r="C14" s="335">
        <f>'DairyBase dataset'!D118</f>
        <v>0</v>
      </c>
      <c r="D14" s="36"/>
      <c r="E14" s="386">
        <f>'DairyBase dataset'!G118*'Forecast inputs'!$B$50</f>
        <v>0</v>
      </c>
    </row>
    <row r="15" spans="1:6">
      <c r="A15" s="33" t="s">
        <v>25</v>
      </c>
      <c r="B15" s="14"/>
      <c r="C15" s="335">
        <f>'DairyBase dataset'!D119</f>
        <v>0</v>
      </c>
      <c r="D15" s="36"/>
      <c r="E15" s="386">
        <f>'DairyBase dataset'!G119*'Forecast inputs'!$B$50</f>
        <v>0</v>
      </c>
    </row>
    <row r="16" spans="1:6">
      <c r="A16" s="33" t="s">
        <v>26</v>
      </c>
      <c r="B16" s="14"/>
      <c r="C16" s="335">
        <f>'DairyBase dataset'!D120</f>
        <v>0</v>
      </c>
      <c r="D16" s="36"/>
      <c r="E16" s="386">
        <f>'DairyBase dataset'!G120*'Forecast inputs'!$B$50</f>
        <v>0</v>
      </c>
    </row>
    <row r="17" spans="1:169">
      <c r="A17" s="33" t="s">
        <v>27</v>
      </c>
      <c r="B17" s="14"/>
      <c r="C17" s="335">
        <f>'DairyBase dataset'!D121</f>
        <v>0</v>
      </c>
      <c r="D17" s="36"/>
      <c r="E17" s="386">
        <f>'DairyBase dataset'!G121*'Forecast inputs'!$B$50</f>
        <v>0</v>
      </c>
    </row>
    <row r="18" spans="1:169">
      <c r="A18" s="40" t="s">
        <v>28</v>
      </c>
      <c r="B18" s="41"/>
      <c r="C18" s="337">
        <f>'DairyBase dataset'!D122</f>
        <v>0</v>
      </c>
      <c r="D18" s="38"/>
      <c r="E18" s="39">
        <f>SUM(E14:E17)</f>
        <v>0</v>
      </c>
    </row>
    <row r="19" spans="1:169">
      <c r="A19" s="33" t="s">
        <v>29</v>
      </c>
      <c r="B19" s="14"/>
      <c r="C19" s="335">
        <f>'DairyBase dataset'!D123</f>
        <v>0</v>
      </c>
      <c r="D19" s="36"/>
      <c r="E19" s="386">
        <f>'DairyBase dataset'!G123*'Forecast inputs'!$B$50</f>
        <v>0</v>
      </c>
    </row>
    <row r="20" spans="1:169" s="15" customFormat="1">
      <c r="A20" s="33" t="s">
        <v>30</v>
      </c>
      <c r="B20" s="14"/>
      <c r="C20" s="335">
        <f>'DairyBase dataset'!D124</f>
        <v>0</v>
      </c>
      <c r="D20" s="36"/>
      <c r="E20" s="386">
        <f>'DairyBase dataset'!G124*'Forecast inputs'!$B$50</f>
        <v>0</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row>
    <row r="21" spans="1:169">
      <c r="A21" s="33" t="s">
        <v>31</v>
      </c>
      <c r="B21" s="14"/>
      <c r="C21" s="335">
        <v>0</v>
      </c>
      <c r="D21" s="36"/>
      <c r="E21" s="386">
        <f>'DairyBase dataset'!G125*'Forecast inputs'!$B$50</f>
        <v>0</v>
      </c>
    </row>
    <row r="22" spans="1:169">
      <c r="A22" s="40" t="s">
        <v>32</v>
      </c>
      <c r="B22" s="41"/>
      <c r="C22" s="337">
        <f>'DairyBase dataset'!D126</f>
        <v>0</v>
      </c>
      <c r="D22" s="38"/>
      <c r="E22" s="39">
        <f>SUM(E19:E21)</f>
        <v>0</v>
      </c>
    </row>
    <row r="23" spans="1:169">
      <c r="A23" s="33" t="s">
        <v>33</v>
      </c>
      <c r="B23" s="14"/>
      <c r="C23" s="335">
        <f>'DairyBase dataset'!D127</f>
        <v>0</v>
      </c>
      <c r="D23" s="36"/>
      <c r="E23" s="35">
        <f>IF('Feed calculations'!H58=0,'Feed calculations'!H65,'Feed calculations'!H106)</f>
        <v>0</v>
      </c>
    </row>
    <row r="24" spans="1:169">
      <c r="A24" s="33" t="s">
        <v>34</v>
      </c>
      <c r="B24" s="14"/>
      <c r="C24" s="335">
        <f>'DairyBase dataset'!D128</f>
        <v>0</v>
      </c>
      <c r="D24" s="36"/>
      <c r="E24" s="341">
        <f>C24</f>
        <v>0</v>
      </c>
    </row>
    <row r="25" spans="1:169" s="15" customFormat="1">
      <c r="A25" s="33" t="s">
        <v>35</v>
      </c>
      <c r="B25" s="14"/>
      <c r="C25" s="335">
        <f>'DairyBase dataset'!D129</f>
        <v>0</v>
      </c>
      <c r="D25" s="36"/>
      <c r="E25" s="341">
        <f>C25</f>
        <v>0</v>
      </c>
      <c r="F25" s="269"/>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row>
    <row r="26" spans="1:169">
      <c r="A26" s="33" t="s">
        <v>36</v>
      </c>
      <c r="B26" s="14"/>
      <c r="C26" s="335">
        <f>'DairyBase dataset'!D130</f>
        <v>0</v>
      </c>
      <c r="D26" s="36"/>
      <c r="E26" s="341">
        <f>'DairyBase dataset'!G130*'Forecast inputs'!$B$50</f>
        <v>0</v>
      </c>
    </row>
    <row r="27" spans="1:169">
      <c r="A27" s="33" t="s">
        <v>37</v>
      </c>
      <c r="B27" s="14"/>
      <c r="C27" s="335">
        <f>'DairyBase dataset'!D131</f>
        <v>0</v>
      </c>
      <c r="D27" s="36"/>
      <c r="E27" s="35">
        <f>'Forecast inputs'!B22*'Forecast inputs'!B14</f>
        <v>0</v>
      </c>
    </row>
    <row r="28" spans="1:169">
      <c r="A28" s="33" t="s">
        <v>38</v>
      </c>
      <c r="B28" s="14"/>
      <c r="C28" s="335">
        <f>'DairyBase dataset'!D132</f>
        <v>0</v>
      </c>
      <c r="D28" s="36"/>
      <c r="E28" s="341">
        <f>C28</f>
        <v>0</v>
      </c>
      <c r="F28" s="269"/>
    </row>
    <row r="29" spans="1:169" s="15" customFormat="1">
      <c r="A29" s="33" t="s">
        <v>39</v>
      </c>
      <c r="B29" s="14"/>
      <c r="C29" s="335">
        <f>'DairyBase dataset'!D133</f>
        <v>0</v>
      </c>
      <c r="D29" s="36"/>
      <c r="E29" s="341">
        <f>C29</f>
        <v>0</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row>
    <row r="30" spans="1:169">
      <c r="A30" s="33" t="s">
        <v>40</v>
      </c>
      <c r="B30" s="14"/>
      <c r="C30" s="335">
        <f>'DairyBase dataset'!D134</f>
        <v>0</v>
      </c>
      <c r="D30" s="36"/>
      <c r="E30" s="386">
        <f>'DairyBase dataset'!G134*'Forecast inputs'!$B$50</f>
        <v>0</v>
      </c>
    </row>
    <row r="31" spans="1:169">
      <c r="A31" s="33" t="s">
        <v>41</v>
      </c>
      <c r="B31" s="14"/>
      <c r="C31" s="335">
        <f>'DairyBase dataset'!D135</f>
        <v>0</v>
      </c>
      <c r="D31" s="36"/>
      <c r="E31" s="341">
        <f>C31</f>
        <v>0</v>
      </c>
    </row>
    <row r="32" spans="1:169">
      <c r="A32" s="40" t="s">
        <v>42</v>
      </c>
      <c r="B32" s="41"/>
      <c r="C32" s="337">
        <f>'DairyBase dataset'!D136</f>
        <v>0</v>
      </c>
      <c r="D32" s="38"/>
      <c r="E32" s="39">
        <f>SUM(E23:E31)</f>
        <v>0</v>
      </c>
    </row>
    <row r="33" spans="1:169">
      <c r="A33" s="75" t="s">
        <v>43</v>
      </c>
      <c r="B33" s="76"/>
      <c r="C33" s="337">
        <f>'DairyBase dataset'!D137</f>
        <v>0</v>
      </c>
      <c r="D33" s="38"/>
      <c r="E33" s="39">
        <f>E32+E22+E18</f>
        <v>0</v>
      </c>
    </row>
    <row r="34" spans="1:169">
      <c r="A34" s="37" t="s">
        <v>44</v>
      </c>
      <c r="B34" s="13"/>
      <c r="C34" s="335"/>
      <c r="D34" s="36"/>
      <c r="E34" s="35"/>
    </row>
    <row r="35" spans="1:169" s="15" customFormat="1">
      <c r="A35" s="33" t="s">
        <v>45</v>
      </c>
      <c r="B35" s="14"/>
      <c r="C35" s="335">
        <f>'DairyBase dataset'!D139</f>
        <v>0</v>
      </c>
      <c r="D35" s="36"/>
      <c r="E35" s="341">
        <f>C35</f>
        <v>0</v>
      </c>
      <c r="F35" s="269"/>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row>
    <row r="36" spans="1:169">
      <c r="A36" s="33" t="s">
        <v>46</v>
      </c>
      <c r="B36" s="14"/>
      <c r="C36" s="335">
        <f>'DairyBase dataset'!D140</f>
        <v>0</v>
      </c>
      <c r="D36" s="36"/>
      <c r="E36" s="341">
        <f t="shared" ref="E36:E38" si="0">C36</f>
        <v>0</v>
      </c>
      <c r="F36" s="269"/>
    </row>
    <row r="37" spans="1:169">
      <c r="A37" s="33" t="s">
        <v>47</v>
      </c>
      <c r="B37" s="14"/>
      <c r="C37" s="335">
        <f>'DairyBase dataset'!D141</f>
        <v>0</v>
      </c>
      <c r="D37" s="36"/>
      <c r="E37" s="341">
        <f t="shared" si="0"/>
        <v>0</v>
      </c>
      <c r="F37" s="269"/>
    </row>
    <row r="38" spans="1:169">
      <c r="A38" s="33" t="s">
        <v>48</v>
      </c>
      <c r="B38" s="14"/>
      <c r="C38" s="335">
        <f>'DairyBase dataset'!D142</f>
        <v>0</v>
      </c>
      <c r="D38" s="36"/>
      <c r="E38" s="341">
        <f t="shared" si="0"/>
        <v>0</v>
      </c>
      <c r="F38" s="269"/>
    </row>
    <row r="39" spans="1:169">
      <c r="A39" s="40" t="s">
        <v>49</v>
      </c>
      <c r="B39" s="41"/>
      <c r="C39" s="337">
        <f>'DairyBase dataset'!D143</f>
        <v>0</v>
      </c>
      <c r="D39" s="38"/>
      <c r="E39" s="39">
        <f>SUM(E35:E38)</f>
        <v>0</v>
      </c>
    </row>
    <row r="40" spans="1:169">
      <c r="A40" s="75" t="s">
        <v>50</v>
      </c>
      <c r="B40" s="76"/>
      <c r="C40" s="336">
        <f>'DairyBase dataset'!D144</f>
        <v>0</v>
      </c>
      <c r="D40" s="77"/>
      <c r="E40" s="78">
        <f>E39+E33</f>
        <v>0</v>
      </c>
    </row>
    <row r="41" spans="1:169">
      <c r="A41" s="75" t="s">
        <v>51</v>
      </c>
      <c r="B41" s="76"/>
      <c r="C41" s="336">
        <f>'DairyBase dataset'!D145</f>
        <v>0</v>
      </c>
      <c r="D41" s="77"/>
      <c r="E41" s="78" t="e">
        <f>E12-E40</f>
        <v>#VALUE!</v>
      </c>
    </row>
    <row r="42" spans="1:169">
      <c r="A42" s="37" t="s">
        <v>52</v>
      </c>
      <c r="B42" s="13"/>
      <c r="C42" s="335"/>
      <c r="D42" s="36"/>
      <c r="E42" s="35"/>
    </row>
    <row r="43" spans="1:169">
      <c r="A43" s="33" t="s">
        <v>53</v>
      </c>
      <c r="B43" s="14"/>
      <c r="C43" s="335">
        <f>'DairyBase dataset'!D147</f>
        <v>0</v>
      </c>
      <c r="D43" s="36"/>
      <c r="E43" s="341">
        <f>C43</f>
        <v>0</v>
      </c>
    </row>
    <row r="44" spans="1:169">
      <c r="A44" s="33" t="s">
        <v>54</v>
      </c>
      <c r="B44" s="14"/>
      <c r="C44" s="335">
        <f>'DairyBase dataset'!D148</f>
        <v>0</v>
      </c>
      <c r="D44" s="36"/>
      <c r="E44" s="341">
        <f>C44</f>
        <v>0</v>
      </c>
    </row>
    <row r="45" spans="1:169" s="15" customFormat="1">
      <c r="A45" s="40" t="s">
        <v>55</v>
      </c>
      <c r="B45" s="41"/>
      <c r="C45" s="337">
        <f>'DairyBase dataset'!D149</f>
        <v>0</v>
      </c>
      <c r="D45" s="38"/>
      <c r="E45" s="39">
        <f>SUM(E43:E44)</f>
        <v>0</v>
      </c>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row>
    <row r="46" spans="1:169">
      <c r="A46" s="37" t="s">
        <v>56</v>
      </c>
      <c r="B46" s="13"/>
      <c r="C46" s="335"/>
      <c r="D46" s="36"/>
      <c r="E46" s="35"/>
    </row>
    <row r="47" spans="1:169" s="16" customFormat="1">
      <c r="A47" s="33" t="s">
        <v>57</v>
      </c>
      <c r="B47" s="14"/>
      <c r="C47" s="335">
        <f>'DairyBase dataset'!D151</f>
        <v>0</v>
      </c>
      <c r="D47" s="36"/>
      <c r="E47" s="341">
        <f>C47</f>
        <v>0</v>
      </c>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row>
    <row r="48" spans="1:169">
      <c r="A48" s="33" t="s">
        <v>58</v>
      </c>
      <c r="B48" s="14"/>
      <c r="C48" s="335">
        <f>'DairyBase dataset'!D152</f>
        <v>0</v>
      </c>
      <c r="D48" s="36"/>
      <c r="E48" s="341">
        <f>C48</f>
        <v>0</v>
      </c>
    </row>
    <row r="49" spans="1:169">
      <c r="A49" s="40" t="s">
        <v>59</v>
      </c>
      <c r="B49" s="41"/>
      <c r="C49" s="337">
        <f>'DairyBase dataset'!D153</f>
        <v>0</v>
      </c>
      <c r="D49" s="38"/>
      <c r="E49" s="39">
        <f>SUM(E47:E48)</f>
        <v>0</v>
      </c>
    </row>
    <row r="50" spans="1:169">
      <c r="A50" s="75" t="s">
        <v>60</v>
      </c>
      <c r="B50" s="76"/>
      <c r="C50" s="336">
        <f>'DairyBase dataset'!D154</f>
        <v>0</v>
      </c>
      <c r="D50" s="77"/>
      <c r="E50" s="78" t="e">
        <f>E41-E45-E49</f>
        <v>#VALUE!</v>
      </c>
      <c r="Q50" s="269"/>
    </row>
    <row r="51" spans="1:169">
      <c r="A51" s="273" t="s">
        <v>103</v>
      </c>
      <c r="C51" s="338"/>
      <c r="E51" s="35"/>
      <c r="O51" s="269"/>
    </row>
    <row r="52" spans="1:169">
      <c r="A52" s="223" t="s">
        <v>104</v>
      </c>
      <c r="C52" s="339">
        <f>'DairyBase dataset'!D157</f>
        <v>0</v>
      </c>
      <c r="E52" s="341">
        <f>C52</f>
        <v>0</v>
      </c>
      <c r="O52" s="269"/>
    </row>
    <row r="53" spans="1:169">
      <c r="A53" s="274" t="s">
        <v>105</v>
      </c>
      <c r="B53" s="15"/>
      <c r="C53" s="340">
        <f>C50-C52</f>
        <v>0</v>
      </c>
      <c r="D53" s="52"/>
      <c r="E53" s="78" t="e">
        <f>E50-E52</f>
        <v>#VALUE!</v>
      </c>
    </row>
    <row r="54" spans="1:169">
      <c r="A54" s="207"/>
    </row>
    <row r="55" spans="1:169" ht="21">
      <c r="A55" s="55" t="s">
        <v>110</v>
      </c>
      <c r="B55" s="15"/>
      <c r="C55" s="52"/>
      <c r="D55" s="52"/>
      <c r="E55" s="52"/>
    </row>
    <row r="56" spans="1:169" ht="21">
      <c r="A56" s="56" t="s">
        <v>108</v>
      </c>
    </row>
    <row r="57" spans="1:169" ht="21">
      <c r="A57" s="57" t="s">
        <v>111</v>
      </c>
    </row>
    <row r="58" spans="1:169" ht="21">
      <c r="A58" s="57" t="s">
        <v>109</v>
      </c>
    </row>
    <row r="59" spans="1:169" s="15" customFormat="1" ht="21">
      <c r="A59" s="57" t="s">
        <v>112</v>
      </c>
      <c r="B59" s="11"/>
      <c r="C59" s="34"/>
      <c r="D59" s="34"/>
      <c r="E59" s="34"/>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row>
    <row r="66" spans="1:169" s="15" customFormat="1">
      <c r="A66" s="1"/>
      <c r="B66" s="11"/>
      <c r="C66" s="34"/>
      <c r="D66" s="34"/>
      <c r="E66" s="34"/>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row>
    <row r="68" spans="1:169" s="16" customFormat="1">
      <c r="A68" s="1"/>
      <c r="B68" s="11"/>
      <c r="C68" s="34"/>
      <c r="D68" s="34"/>
      <c r="E68" s="34"/>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row>
    <row r="74" spans="1:169" s="16" customFormat="1">
      <c r="A74" s="1"/>
      <c r="B74" s="11"/>
      <c r="C74" s="34"/>
      <c r="D74" s="34"/>
      <c r="E74" s="34"/>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row>
    <row r="76" spans="1:169" s="16" customFormat="1">
      <c r="A76" s="1"/>
      <c r="B76" s="11"/>
      <c r="C76" s="34"/>
      <c r="D76" s="34"/>
      <c r="E76" s="34"/>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row>
  </sheetData>
  <sheetProtection algorithmName="SHA-512" hashValue="zf8SmjGayQzHe8XG66vMeyWWYLWDSUc/08epzbip7B3l3u06ITGrxeYVDvvVrlncrkTRtqrgPJf1YOrM/xT22Q==" saltValue="Dt/Uw2G1OAzhKEFwKnq8cw==" spinCount="100000" sheet="1" objects="1" scenarios="1"/>
  <conditionalFormatting sqref="C50:E50">
    <cfRule type="cellIs" dxfId="8" priority="9" operator="lessThan">
      <formula>0</formula>
    </cfRule>
  </conditionalFormatting>
  <conditionalFormatting sqref="C41:E41">
    <cfRule type="cellIs" dxfId="7" priority="8" operator="lessThan">
      <formula>0</formula>
    </cfRule>
  </conditionalFormatting>
  <conditionalFormatting sqref="E53">
    <cfRule type="cellIs" dxfId="6" priority="7" operator="lessThan">
      <formula>0</formula>
    </cfRule>
  </conditionalFormatting>
  <conditionalFormatting sqref="C53">
    <cfRule type="cellIs" dxfId="5" priority="6" operator="lessThan">
      <formula>0</formula>
    </cfRule>
  </conditionalFormatting>
  <hyperlinks>
    <hyperlink ref="A56" location="'DB data'!A1" display="DairyBase data" xr:uid="{00000000-0004-0000-0300-000000000000}"/>
    <hyperlink ref="A57" location="'Forecast inputs'!A1" display="Forecast inputs" xr:uid="{00000000-0004-0000-0300-000001000000}"/>
    <hyperlink ref="A58" location="'Feed calculations'!A1" display="Feed calculations" xr:uid="{00000000-0004-0000-0300-000002000000}"/>
    <hyperlink ref="A59" location="'Detailed Results'!A1" display="Detailed Results" xr:uid="{00000000-0004-0000-0300-000003000000}"/>
  </hyperlinks>
  <pageMargins left="0.7" right="0.7" top="0.75" bottom="0.75" header="0.3" footer="0.3"/>
  <pageSetup paperSize="9" orientation="portrait" horizontalDpi="0" verticalDpi="0"/>
  <drawing r:id="rId1"/>
  <extLst>
    <ext xmlns:x14="http://schemas.microsoft.com/office/spreadsheetml/2009/9/main" uri="{78C0D931-6437-407d-A8EE-F0AAD7539E65}">
      <x14:conditionalFormattings>
        <x14:conditionalFormatting xmlns:xm="http://schemas.microsoft.com/office/excel/2006/main">
          <x14:cfRule type="expression" priority="1" id="{8DA6B7E1-34C4-B144-90E8-21693DF3953E}">
            <xm:f>'Forecast inputs'!$B$43&gt;3</xm:f>
            <x14:dxf>
              <font>
                <color theme="0"/>
              </font>
              <fill>
                <patternFill>
                  <bgColor theme="0"/>
                </patternFill>
              </fill>
            </x14:dxf>
          </x14:cfRule>
          <x14:cfRule type="expression" priority="2" id="{38454DEB-1C20-E14B-ACF8-139FF827156F}">
            <xm:f>'Forecast inputs'!$E$50="TOO MUCH CHANGE IN HERD SIZE. Re-enter a number"</xm:f>
            <x14:dxf>
              <font>
                <color theme="0"/>
              </font>
              <fill>
                <patternFill>
                  <bgColor theme="0"/>
                </patternFill>
              </fill>
            </x14:dxf>
          </x14:cfRule>
          <x14:cfRule type="expression" priority="3" id="{7E45C684-2592-0D43-8195-98EA80777B92}">
            <xm:f>'Forecast inputs'!$E$53="TOO MUCH CHANGE IN MILK PRODUCTION. Re-enter a number"</xm:f>
            <x14:dxf>
              <font>
                <color theme="0"/>
              </font>
              <fill>
                <patternFill>
                  <bgColor theme="0"/>
                </patternFill>
              </fill>
            </x14:dxf>
          </x14:cfRule>
          <x14:cfRule type="expression" priority="4" id="{068DBAD5-45B1-0B40-930B-24E491B5D895}">
            <xm:f>'Forecast inputs'!$E$47="TOO MUCH CHANGE IN LAND AREA. Re-enter a number"</xm:f>
            <x14:dxf>
              <font>
                <color theme="0"/>
              </font>
              <fill>
                <patternFill>
                  <bgColor theme="0"/>
                </patternFill>
              </fill>
            </x14:dxf>
          </x14:cfRule>
          <x14:cfRule type="expression" priority="5" id="{6730C138-4D76-5F41-9202-306067DBCBAB}">
            <xm:f>'Forecast inputs'!$E$31="TOO MUCH CHANGE IN WATER USE EFFICIENCY. Re-enter a number"</xm:f>
            <x14:dxf>
              <font>
                <color theme="0"/>
              </font>
              <fill>
                <patternFill>
                  <bgColor theme="0"/>
                </patternFill>
              </fill>
            </x14:dxf>
          </x14:cfRule>
          <xm:sqref>E6:E55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DairyBase dataset</vt:lpstr>
      <vt:lpstr>Forecast inputs</vt:lpstr>
      <vt:lpstr>Feed calculations</vt:lpstr>
      <vt:lpstr>Detailed Results</vt:lpstr>
      <vt:lpstr>'Feed calculations'!Print_Area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Henty</dc:creator>
  <cp:lastModifiedBy>Daryl Poole</cp:lastModifiedBy>
  <dcterms:created xsi:type="dcterms:W3CDTF">2018-06-12T04:09:31Z</dcterms:created>
  <dcterms:modified xsi:type="dcterms:W3CDTF">2018-08-31T06:26:34Z</dcterms:modified>
</cp:coreProperties>
</file>